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935" windowHeight="12360" tabRatio="877" activeTab="0"/>
  </bookViews>
  <sheets>
    <sheet name="Total" sheetId="1" r:id="rId1"/>
    <sheet name="Commercial old" sheetId="2" state="hidden" r:id="rId2"/>
    <sheet name="Ave weights 3 (aq)" sheetId="3" state="hidden" r:id="rId3"/>
    <sheet name="discard mort ave." sheetId="4" state="hidden" r:id="rId4"/>
    <sheet name="Source 32" sheetId="5" state="hidden" r:id="rId5"/>
    <sheet name="Com_nohead" sheetId="6" state="hidden" r:id="rId6"/>
    <sheet name="Commerical" sheetId="7" r:id="rId7"/>
    <sheet name="Imports-Exports" sheetId="8" r:id="rId8"/>
    <sheet name="Discard mortality" sheetId="9" r:id="rId9"/>
    <sheet name="Recreational" sheetId="10" r:id="rId10"/>
    <sheet name="Aquaculture" sheetId="11" r:id="rId11"/>
    <sheet name="Ave nohead" sheetId="12" state="hidden" r:id="rId12"/>
    <sheet name="Fishmeal" sheetId="13" r:id="rId13"/>
    <sheet name="Ave weights" sheetId="14" r:id="rId14"/>
    <sheet name="Sources" sheetId="15" r:id="rId15"/>
  </sheets>
  <definedNames/>
  <calcPr fullCalcOnLoad="1"/>
</workbook>
</file>

<file path=xl/sharedStrings.xml><?xml version="1.0" encoding="utf-8"?>
<sst xmlns="http://schemas.openxmlformats.org/spreadsheetml/2006/main" count="2121" uniqueCount="822">
  <si>
    <t>4, 6, 76</t>
  </si>
  <si>
    <t>3, 76</t>
  </si>
  <si>
    <t>2, 76</t>
  </si>
  <si>
    <t>Henry B. Bigelow and William C. Schroeder, "Fishes of the Gulf of Maine", Fishery Bulletin of the Fish and Wildlife Service 74, Fish and Wildlife Service, US Dept of the Interior, Volume 53, 1953, http://207.56.201.131/fogm/Default.htm</t>
  </si>
  <si>
    <t>Shad, Sturgeon</t>
  </si>
  <si>
    <t>Whitefish</t>
  </si>
  <si>
    <t>Flatfish, Other</t>
  </si>
  <si>
    <t>Cusk, Pollock</t>
  </si>
  <si>
    <t>NET IMPORTS (weight)</t>
  </si>
  <si>
    <t>NOAA Fisheries Office of Science and Technology, "Imports and Exports of Fishery Products Annual Summary, 2009", Current Fisheries Statistucs No. 2009-2, http://www.st.nmfs.noaa.gov/st1/trade/documents/TRADE2009.pdf</t>
  </si>
  <si>
    <t>IMPORTS (metric tons)</t>
  </si>
  <si>
    <t>Fisheries of the US 2009</t>
  </si>
  <si>
    <t>2009</t>
  </si>
  <si>
    <t>SUMMARY OF SEA ANIMALS KILLED BY U.S. CONSUMPTION IN 2009</t>
  </si>
  <si>
    <t>Diff from 2008</t>
  </si>
  <si>
    <t>ave1=2004-2009 weighted ave of all fishes listed above</t>
  </si>
  <si>
    <t>The North End Fish Market, 7 Oct 2009, http://northendfish.com/sea-scallop-fish-facts</t>
  </si>
  <si>
    <t>Alison Mood, "Worse things happen at sea: the welfare of wild caught fish", fishcount.org.uk, 2010, source data listed here: http://www.fishcount.org.uk/studydatascreens/frontpage.php, and for fishmeal here: http://fishcount.org.uk/studydatascreens/numbers-of-fish-caught-for-fishmeal.php.</t>
  </si>
  <si>
    <t>21, 22, 86</t>
  </si>
  <si>
    <t>Leavins Seafood lists 7 lbs of regular-sized oysters as approximately 280 oysters. http://www.leavinsseafood.com/products_freshshucked.html</t>
  </si>
  <si>
    <t>From Annex A Table 24, Source 75. Note that Source 85 gives a higher estimate of 28%, so the one used is conservative.</t>
  </si>
  <si>
    <t>JM Harrington, RA Myers, and AA Rosenberg, "Wasted Resources: Bycatch and discards in U. S. Fisheries," http://na.oceana.org/sites/default/files/o/fileadmin/oceana/uploads/Big_Fish_Report/PDF_Bycatch_July28.pdf, p.14</t>
  </si>
  <si>
    <t>U.S. Dept of Commerce, "Imports and Exports of Fishery Products Annual Summary, 2007", Current Fisheries Statistics No. 2007-2, http://www.st.nmfs.noaa.gov/st1/trade/documents/TRADE2007.pdf</t>
  </si>
  <si>
    <t>U.S. Dept of Commerce, "Imports and Exports of Fishery Products Annual Summary, 2008", Current Fisheries Statistics No. 2008-2, http://www.st.nmfs.noaa.gov/st1/trade/documents/TRADE2008.pdf</t>
  </si>
  <si>
    <t>More than 25g. NOAA Fisheries Science Center, NOAA Fisheries, "50th Northeast Regional Stock Assessment Workshop (50th SAW): Assessment Report", Northeast Fisheries Science Center Reference Document 10-17, Aug 2010, p.397, http://www.nefsc.noaa.gov/publications/crd/crd1017/pdfs/btext.pdf.</t>
  </si>
  <si>
    <t>Anchoveta(=Peruvian anchovy) (Engraulis ringens)</t>
  </si>
  <si>
    <t>Blue whiting(=Poutassou) (Micromesistius poutassou)</t>
  </si>
  <si>
    <t>Chub mackerel (Scomber japonicus)</t>
  </si>
  <si>
    <t>Chilean jack mackerel (Trachurus murphyi)</t>
  </si>
  <si>
    <t>Japanese anchovy (Engraulis japonicus)</t>
  </si>
  <si>
    <t>European pilchard(=Sardine) (Sardina pilchardus)</t>
  </si>
  <si>
    <t>Capelin (Mallotus villosus)</t>
  </si>
  <si>
    <t>European sprat (Sprattus sprattus)</t>
  </si>
  <si>
    <t>Sandeels(=Sandlances) nei (Ammodytes spp)</t>
  </si>
  <si>
    <t>Gulf menhaden (Brevoortia patronus)</t>
  </si>
  <si>
    <t>Araucanian herring (Strangomera bentincki)</t>
  </si>
  <si>
    <t>Atlantic menhaden (Brevoortia tyrannus)</t>
  </si>
  <si>
    <t>Norway pout (Trisopterus esmarkii)</t>
  </si>
  <si>
    <t>Tadpole codling (Salilota australis)</t>
  </si>
  <si>
    <t xml:space="preserve">Total: </t>
  </si>
  <si>
    <t>Pacific sardine (Sardinops sagax)</t>
  </si>
  <si>
    <t>Source 92</t>
  </si>
  <si>
    <t>Fishmeal</t>
  </si>
  <si>
    <t>Ave Weight (lbs)</t>
  </si>
  <si>
    <t>Fish species primarily used for fish meal/oil globally</t>
  </si>
  <si>
    <t>Global Utilization</t>
  </si>
  <si>
    <t>Fish for human consumption (million metric tons)</t>
  </si>
  <si>
    <t>A.Mood and P.Brooke, "Estimating the Number of Fish Caught in Global Fishing Each Year", July 2010, http://www.fishcount.org.uk/published/std/fishcountstudy.pdf.</t>
  </si>
  <si>
    <t>Average 2001-2007. Source 96, p.14, Table 6.</t>
  </si>
  <si>
    <t>Alison Mood, "Worse things happen at sea: the welfare of wild caught fish", fishcount.org.uk, 2010, http://www.fishcount.org.uk/published/standard/fishcountfullrptSR.pdf.</t>
  </si>
  <si>
    <t>Average 1999-2007, Source 97, Appendix A, Table 4.</t>
  </si>
  <si>
    <t>Trade in fish oil not included</t>
  </si>
  <si>
    <t>Fish for non-food uses (mainly fishmeal/oil, million metric tons)</t>
  </si>
  <si>
    <t>Fishmeal imports (metric tons)</t>
  </si>
  <si>
    <t>Fishmeal exports (metric tons)</t>
  </si>
  <si>
    <t>Global average weight of fishmeal per fish (lbs)</t>
  </si>
  <si>
    <t>Number of fish killed for fishmeal imports</t>
  </si>
  <si>
    <t>Global average weight of fish used in fishmeal (lbs)</t>
  </si>
  <si>
    <t>Global average weight of fish used mainly for fishmeal (lbs)</t>
  </si>
  <si>
    <t>Atlantic menhaden. Source 94</t>
  </si>
  <si>
    <t>US average weight of fish used mainly for fishmeal (lbs)</t>
  </si>
  <si>
    <t>Portion of fishmeal composed of by-products of other fish</t>
  </si>
  <si>
    <t>Menhaden makes up the large majority of U.S. fishmeal. C.J.Thompson, "The Market for Fish Meal and Oil in the United States: 1960-1988 and Future Prospects", CalCOFl Rep., Vol. 31,1990, p. 127, Table 3, http://www.calcofi.org/newhome/publications/CalCOFI_Reports/v31/pdfs/Vol_31_Thomson.pdf.</t>
  </si>
  <si>
    <t>Portion of each fish that becomes fishmeal, by weight</t>
  </si>
  <si>
    <t>Total fish imports, excluding fishmeal/oil (metric tons)</t>
  </si>
  <si>
    <t>U.S. target catch (1000 lbs)</t>
  </si>
  <si>
    <t>Total No. of U.S. Fish Discarded</t>
  </si>
  <si>
    <t>U.S. Discards (1000 lbs)</t>
  </si>
  <si>
    <t>Total No. of U.S. Discards Killed</t>
  </si>
  <si>
    <t>These values are included under "Imports-Exports"</t>
  </si>
  <si>
    <t>Note: Fish fed to those fish exported from the U.S. were not calculated, as the number is small.</t>
  </si>
  <si>
    <t>Average discard mortality (41%) was calculated by taking the average mortality percentage for 4 species of commercial fisheries (halibut, crab, salmon, shrimp) as found in tables 13,15,16,17b in source 32</t>
  </si>
  <si>
    <t>FAO, Yearbooks of Fishery Statistics Summary tables, p.11, Table A-1a, ftp://ftp.fao.org/fi/stat/summary/a1ybc.pdf.</t>
  </si>
  <si>
    <t>Jeff Batis, "Important Species", http://www7.taosnet.com/platinum/data/species/species.html.</t>
  </si>
  <si>
    <t>It's Nature, http://www.itsnature.org/sea/fish/patagonian-toothfish/.</t>
  </si>
  <si>
    <t>Aquaculture Network Information Center, ag.ansc.purdue.edu/aquanic/</t>
  </si>
  <si>
    <t>US average weight of fishmeal per fish (lbs)</t>
  </si>
  <si>
    <t>Number of fish killed for fishmeal exports</t>
  </si>
  <si>
    <t>Number of fish killed for net fishmeal imports</t>
  </si>
  <si>
    <t>Average fish weight (lbs)</t>
  </si>
  <si>
    <t>Source 93</t>
  </si>
  <si>
    <t>US average weight of fish used in fishmeal (lbs)</t>
  </si>
  <si>
    <t>Number of fish fed to those fish imported to the U.S.</t>
  </si>
  <si>
    <t>Global mean weight of a fish used for fish meal/oil:</t>
  </si>
  <si>
    <t>Fishmeal imports and exports</t>
  </si>
  <si>
    <t>Mostly used for fishmeal</t>
  </si>
  <si>
    <t>See "Finfish Species" above</t>
  </si>
  <si>
    <t>Average Weight (lbs)</t>
  </si>
  <si>
    <t>lbs</t>
  </si>
  <si>
    <t>FAO Fisheries and Aquaculture Department, "The State of World Fisheries and Aquaculture", Part I, Rome 2009, ftp://ftp.fao.org/docrep/fao/011/i0250e/i0250e01.pdf.</t>
  </si>
  <si>
    <t>Note that many of these species are also used as food, contributing to this average as only an estimate</t>
  </si>
  <si>
    <t>Portion of fishmeal used to feed aquaculture</t>
  </si>
  <si>
    <t>Ratio of non-food uses to human consumption</t>
  </si>
  <si>
    <t>Fishmeal for aquaculture for fish imports (metric tons)</t>
  </si>
  <si>
    <t>FISH KILLED TO FEED FISH IMPORTED INTO THE U.S.</t>
  </si>
  <si>
    <t>U.S. target catch less exports (1000 lbs)</t>
  </si>
  <si>
    <t>U.S. Discards for domestic use (1000 lbs)</t>
  </si>
  <si>
    <t>Total No. of U.S. Fish Discarded for domestic use</t>
  </si>
  <si>
    <t>Total No. of U.S. Discards Killed for Domestic Use</t>
  </si>
  <si>
    <t>Imports (1000 lbs)</t>
  </si>
  <si>
    <t>Ratio of fish for fishmeal for aquaculture to fish for humans</t>
  </si>
  <si>
    <t>[Source for Capture: 78, from FAO FishStat "Capture Production 1950-2007 (Release Date: February 2009)]</t>
  </si>
  <si>
    <t>Global Capture (metric tons, average 1999-2007)</t>
  </si>
  <si>
    <t>Portion of fish used for fish oil</t>
  </si>
  <si>
    <t>Portion of fish oil used to feed aquaculture</t>
  </si>
  <si>
    <t>A.G.J. Tacon and M. Metian, "Global overview on the use of fishmeal and fish oil in industrially compounded aquafeeds: Trends and future prospects", Aquaculture 258 (2008), p. 146-158, http://www.cnr.uidaho.edu/fish510/PDF/fishmeal.pdf.</t>
  </si>
  <si>
    <t>Portion of non-food uses used for aquaculture</t>
  </si>
  <si>
    <t>A.Jackson, "Fishmeal and fish oil production and its role in sustainable aquaculture", International Fishmeal and Fish Oil Organization, http://www.iffo.net/intranet/content/archivos/98.pdf.</t>
  </si>
  <si>
    <t>Source 93, p.10</t>
  </si>
  <si>
    <t>Source 93, p.8</t>
  </si>
  <si>
    <t>60-100 per lb. http://www.relishmag.com/article/29365.html</t>
  </si>
  <si>
    <t>Professor's House, "Scallops", 2007, http://www.professorshouse.com/food-beverage/food/scallops.aspx.</t>
  </si>
  <si>
    <t>80,82,84</t>
  </si>
  <si>
    <t>81,84</t>
  </si>
  <si>
    <t>Robert J Baker, "Scallops: Nutrients from the sea", Clarendon Sun, 9 Mar 2010, http://www.theitem.com/clarendon_sun/article_e38ae567-f7f5-5991-a41c-b91a6fe43ce9.html.</t>
  </si>
  <si>
    <t>B. Skaramuca et al., "Recent advances on the diversification of marine finfishes in Croatia", CIHEAM - Options Mediterraneennes, p.362, http://ressources.ciheam.org/om/pdf/c47/00600638.pdf</t>
  </si>
  <si>
    <t>NET IMPORTS (No. of shellfish)</t>
  </si>
  <si>
    <t>Number of fish killed for US commercial consumption</t>
  </si>
  <si>
    <t>SUMMARY OF SEA ANIMALS KILLED BY U.S. CONSUMPTION IN 2008</t>
  </si>
  <si>
    <t>Diff from 2007</t>
  </si>
  <si>
    <t>Harvested</t>
  </si>
  <si>
    <t>Sea trout or weak fish, Sand (white)</t>
  </si>
  <si>
    <t>Shad, American</t>
  </si>
  <si>
    <t>Shad, Hickory</t>
  </si>
  <si>
    <t>Sharks, Dogfish</t>
  </si>
  <si>
    <t>Sharks, Other</t>
  </si>
  <si>
    <t>Sheepshead (Atlantic)</t>
  </si>
  <si>
    <t>Skates</t>
  </si>
  <si>
    <t>Smelts</t>
  </si>
  <si>
    <t>Snapper, Red</t>
  </si>
  <si>
    <t>Snapper, Vermilion</t>
  </si>
  <si>
    <t>Snapper, Unclassified</t>
  </si>
  <si>
    <t>Spearfish</t>
  </si>
  <si>
    <t>Spot</t>
  </si>
  <si>
    <t>Striped bass</t>
  </si>
  <si>
    <t>Swordfish</t>
  </si>
  <si>
    <t>Tenpounder (ladyfish)</t>
  </si>
  <si>
    <t>Trout, rainbow</t>
  </si>
  <si>
    <t>Tuna, Albacore</t>
  </si>
  <si>
    <t>Final (lbs)</t>
  </si>
  <si>
    <t>In 1997, 611,200 t of gulf menhadden were 5.95 billion individuals. D.S. Vaughan, J.W. Smith, and M.H. Prager, "Population Characteristics of Gulf Menhaden, Brevoortia patronus", NOAA Technical Report NMFS 149, April 2000, p.4, Table 2, http://citeseerx.ist.psu.edu/viewdoc/download?doi=10.1.1.76.9992&amp;rep=rep1&amp;type=pdf.</t>
  </si>
  <si>
    <t>A.J. Chester, "Sampling Statistics in the Atlantic Menhaden Fishery", NOAA Technical Report NMFS 9, August 1984, http://spo.nwr.noaa.gov/tr9opt.pdf.</t>
  </si>
  <si>
    <t>10, 88</t>
  </si>
  <si>
    <t>WWF, "Alaskan and Russian Pollock", http://wwf.panda.org/what_we_do/endangered_species/alaska_pollock/.</t>
  </si>
  <si>
    <t>11, 53, 89</t>
  </si>
  <si>
    <t>2007 averages were 7.7 lbs in Kodiak, 8.1 lbs in Chignik, S. Alaska Peninsula 7.6 lbs. Alaska Dept of Fish and Game Commercial Fisheries, "Catch, efforts, value and average weight from the Westward Region state-waters Pacific cod fisheries, 1997-2007", http://www.cf.adfg.state.ak.us/region4/finfish/grndfish/pdf_files/pcodcev07.pdf.</t>
  </si>
  <si>
    <t>Brad Harris, sea scallop researcher at the School of Marine Science and Technology, said 15-20 per pound is a good estimate.</t>
  </si>
  <si>
    <t>Source 79</t>
  </si>
  <si>
    <t>Source 78</t>
  </si>
  <si>
    <t>Min (g)</t>
  </si>
  <si>
    <t>Max (g)</t>
  </si>
  <si>
    <t>Avg (lbs)</t>
  </si>
  <si>
    <t>(pounds)</t>
  </si>
  <si>
    <t>% of Total</t>
  </si>
  <si>
    <t>Percentage of Total</t>
  </si>
  <si>
    <t>SOURCES</t>
  </si>
  <si>
    <r>
      <t>Guide to Marine Fishes</t>
    </r>
    <r>
      <rPr>
        <sz val="10"/>
        <rFont val="Arial"/>
        <family val="0"/>
      </rPr>
      <t>, Perlmatter, 1961</t>
    </r>
  </si>
  <si>
    <r>
      <t>Breder Field Book of Marine Fishes,</t>
    </r>
    <r>
      <rPr>
        <sz val="10"/>
        <rFont val="Arial"/>
        <family val="0"/>
      </rPr>
      <t xml:space="preserve"> 1948</t>
    </r>
  </si>
  <si>
    <r>
      <t xml:space="preserve">FAO fisheries technical paper 339, </t>
    </r>
    <r>
      <rPr>
        <i/>
        <sz val="10"/>
        <rFont val="Arial"/>
        <family val="2"/>
      </rPr>
      <t>A Global Assessment of Fisheries Bycatch and Discards</t>
    </r>
    <r>
      <rPr>
        <sz val="10"/>
        <rFont val="Arial"/>
        <family val="0"/>
      </rPr>
      <t>, 1995.</t>
    </r>
  </si>
  <si>
    <r>
      <t>Assessment of North Carolina Commercial Finfisheries, 1994-1996</t>
    </r>
    <r>
      <rPr>
        <sz val="10"/>
        <rFont val="Arial"/>
        <family val="0"/>
      </rPr>
      <t>; N.C. Dept. of Env. and Nat. Res.</t>
    </r>
  </si>
  <si>
    <r>
      <t xml:space="preserve">Department of Commerce, "Current Fishery Statistics No. 9700," </t>
    </r>
    <r>
      <rPr>
        <i/>
        <sz val="10"/>
        <rFont val="Arial"/>
        <family val="2"/>
      </rPr>
      <t>Fisheries of the United States, 1997.</t>
    </r>
  </si>
  <si>
    <t>landings by U.S. vessels outside of U.S. boundaries</t>
  </si>
  <si>
    <t>-Stats on commercial landings are total animal weight</t>
  </si>
  <si>
    <t>except for clams, oysters, and scallops, which only</t>
  </si>
  <si>
    <t>take into account the weight of the meat (see footnote</t>
  </si>
  <si>
    <t>1 on page 5)</t>
  </si>
  <si>
    <t>-U.S. commercial landings include landings for</t>
  </si>
  <si>
    <t>Total</t>
  </si>
  <si>
    <t>Released</t>
  </si>
  <si>
    <t>Species</t>
  </si>
  <si>
    <t xml:space="preserve">Alewives </t>
  </si>
  <si>
    <t>Anchovies</t>
  </si>
  <si>
    <t>Atka mackerel</t>
  </si>
  <si>
    <t>Bluefish</t>
  </si>
  <si>
    <t>Blue runner</t>
  </si>
  <si>
    <t>Bonito</t>
  </si>
  <si>
    <t>Butterfish</t>
  </si>
  <si>
    <t>Catfish and bullheads</t>
  </si>
  <si>
    <t>Cod, Atlantic</t>
  </si>
  <si>
    <t>Cod, Pacific</t>
  </si>
  <si>
    <t>Crevalle (jack)</t>
  </si>
  <si>
    <t>Croaker, Atlantic</t>
  </si>
  <si>
    <t>Croaker, Pacific</t>
  </si>
  <si>
    <t>Cusk</t>
  </si>
  <si>
    <t>Dolphinfish</t>
  </si>
  <si>
    <t>Eels, American</t>
  </si>
  <si>
    <t>Flounder, Arrowtooth</t>
  </si>
  <si>
    <t>Flounder, Winter (blackback)</t>
  </si>
  <si>
    <t>Flounder, Plaice, American</t>
  </si>
  <si>
    <t>Flounder, Summer (fluke)</t>
  </si>
  <si>
    <t>Flounder, Sole, Dover</t>
  </si>
  <si>
    <t>Flounder, Sole, Flathead</t>
  </si>
  <si>
    <t>Flounder, Sole, Witch (gray)</t>
  </si>
  <si>
    <t>Flounder, Sole, Petrale</t>
  </si>
  <si>
    <t>Flounder, Sole, Rock</t>
  </si>
  <si>
    <t>Flounder, Sole, Yellowfin</t>
  </si>
  <si>
    <t>Flounder, Yellowtail</t>
  </si>
  <si>
    <t>Flounder, Atlantic/Gulf, Other</t>
  </si>
  <si>
    <t>Flounder, Pacific, Other</t>
  </si>
  <si>
    <t>Goosefish (anglerfish)</t>
  </si>
  <si>
    <t>Groupers</t>
  </si>
  <si>
    <t>Haddock</t>
  </si>
  <si>
    <t>Hake, Pacific (whiting)</t>
  </si>
  <si>
    <t>Hake, Red</t>
  </si>
  <si>
    <t>Hake, Silver (Atlantic whiting)</t>
  </si>
  <si>
    <t>Hake, White</t>
  </si>
  <si>
    <t>Halibut</t>
  </si>
  <si>
    <t>Herring, Atlantic Sea</t>
  </si>
  <si>
    <t>Herring, Pacific Sea</t>
  </si>
  <si>
    <t>Herring, Thread</t>
  </si>
  <si>
    <t>Jack mackerel</t>
  </si>
  <si>
    <t>Lingcod</t>
  </si>
  <si>
    <t>Mackerel, Atlantic</t>
  </si>
  <si>
    <t>Mackerel, Chub</t>
  </si>
  <si>
    <t>Mackerel, King and cero</t>
  </si>
  <si>
    <t>Mackerel, Spanish</t>
  </si>
  <si>
    <t>Menhaden, Atlantic</t>
  </si>
  <si>
    <t>Menhaden, Gulf</t>
  </si>
  <si>
    <t>Mullets</t>
  </si>
  <si>
    <t>Ocean perch, Atlantic</t>
  </si>
  <si>
    <t>Ocean perch, Pacific</t>
  </si>
  <si>
    <t>Pollock, Atlantic</t>
  </si>
  <si>
    <t>Pollock, Walleye (Alaska)</t>
  </si>
  <si>
    <t>Rockfishes, Bocaccio</t>
  </si>
  <si>
    <t>Rockfishes, Canary</t>
  </si>
  <si>
    <t>Rockfishes, Chilipepper</t>
  </si>
  <si>
    <t>Rockfishes, Widow</t>
  </si>
  <si>
    <t>Rockfishes, Yellowtail</t>
  </si>
  <si>
    <t>Rockfishes, Other</t>
  </si>
  <si>
    <t>Sablefish</t>
  </si>
  <si>
    <t>Salmon, Pacific, Chinook or king</t>
  </si>
  <si>
    <t>Salmon, Pacific, Chum or keta</t>
  </si>
  <si>
    <t>Salmon, Pacific, Pink</t>
  </si>
  <si>
    <t>Salmon, Pacific, Red or sockeye</t>
  </si>
  <si>
    <t>Salmon, Pacific, Silver of coho</t>
  </si>
  <si>
    <t>Sardines, Pacific</t>
  </si>
  <si>
    <t>Sardines, Spanish</t>
  </si>
  <si>
    <t>Scup or porgy</t>
  </si>
  <si>
    <t>Sea bass, Black (Atlantic)</t>
  </si>
  <si>
    <t>Sea bass, White (Pacific)</t>
  </si>
  <si>
    <t>Sea trout or weak fish, Gray</t>
  </si>
  <si>
    <t>Sea trout or weak fish, Spotted</t>
  </si>
  <si>
    <t>record=ave rec for 3 species of N.A. bullhead; ave1=ave of range</t>
  </si>
  <si>
    <t>max=ave of max range</t>
  </si>
  <si>
    <t>record for washington state</t>
  </si>
  <si>
    <t>ave1=ave of "common" range; ave2=ave of "ave" range</t>
  </si>
  <si>
    <t>13, 5</t>
  </si>
  <si>
    <t>13, 6</t>
  </si>
  <si>
    <t xml:space="preserve">used same data as Atlantic Croaker </t>
  </si>
  <si>
    <t xml:space="preserve">ave1=ave of range; </t>
  </si>
  <si>
    <t>"most appetizing&lt;2"</t>
  </si>
  <si>
    <t>Washington State record</t>
  </si>
  <si>
    <t>Gulf "common to 2"</t>
  </si>
  <si>
    <t>ave1=ave of market range</t>
  </si>
  <si>
    <t>6, 13</t>
  </si>
  <si>
    <t>3, 2</t>
  </si>
  <si>
    <t>2, 3</t>
  </si>
  <si>
    <t>3, 21</t>
  </si>
  <si>
    <t>3, 6</t>
  </si>
  <si>
    <t>5, 25</t>
  </si>
  <si>
    <t>3, 2, 20, 20</t>
  </si>
  <si>
    <t>2, 6</t>
  </si>
  <si>
    <t>6, 20</t>
  </si>
  <si>
    <t>4, 6</t>
  </si>
  <si>
    <t>ave1, ave2=ave of range</t>
  </si>
  <si>
    <t>18, 6, 18</t>
  </si>
  <si>
    <t>3, 19, 6, 18</t>
  </si>
  <si>
    <t>3, 10</t>
  </si>
  <si>
    <t>ave1=ave of king (20) and cero (3)</t>
  </si>
  <si>
    <t>3, 17</t>
  </si>
  <si>
    <t>3, 17, 18</t>
  </si>
  <si>
    <t>"striped, black"</t>
  </si>
  <si>
    <t>"white"</t>
  </si>
  <si>
    <t>3, 1</t>
  </si>
  <si>
    <t>Tuna, Bigeye</t>
  </si>
  <si>
    <t>Tuna, Bluefin</t>
  </si>
  <si>
    <t>Tuna, Little (tunny)</t>
  </si>
  <si>
    <t>Tuna, Skipjack</t>
  </si>
  <si>
    <t>Tuna, Yellowfin</t>
  </si>
  <si>
    <t>Tuna, Unclassified</t>
  </si>
  <si>
    <t>Whitefish, lake</t>
  </si>
  <si>
    <t>Wolffish, Atlantic</t>
  </si>
  <si>
    <t>Yellow perch</t>
  </si>
  <si>
    <t>Other marine finfishes</t>
  </si>
  <si>
    <t>Other freshwater finfishes</t>
  </si>
  <si>
    <t>Finfish</t>
  </si>
  <si>
    <t>Shellfish</t>
  </si>
  <si>
    <t>Abalone</t>
  </si>
  <si>
    <t>Clams, Quahog</t>
  </si>
  <si>
    <t>Clams, Geoduck (Pacific)</t>
  </si>
  <si>
    <t>Clams, Manila</t>
  </si>
  <si>
    <t>Clams, Ocean quahog</t>
  </si>
  <si>
    <t>Clams, softshell</t>
  </si>
  <si>
    <t>Clams, Surf (Atlantic)</t>
  </si>
  <si>
    <t>Clams, Other</t>
  </si>
  <si>
    <t>Conch (snails)</t>
  </si>
  <si>
    <t>Crabs, Blue, Hard</t>
  </si>
  <si>
    <t>Crabs, Blue, Soft and peeler</t>
  </si>
  <si>
    <t>Crabs, Dunganess</t>
  </si>
  <si>
    <t>Crabs, Jonah</t>
  </si>
  <si>
    <t>Crabs, King</t>
  </si>
  <si>
    <t>Crabs, Snow (tanner), Bairdi</t>
  </si>
  <si>
    <t>Crabs, Snow (tanner), Opilio</t>
  </si>
  <si>
    <t>Crabs, Other</t>
  </si>
  <si>
    <t>Crawfish (freshwater)</t>
  </si>
  <si>
    <t>Horshoe crab</t>
  </si>
  <si>
    <t>Lobsters, American</t>
  </si>
  <si>
    <t>Lobsters, Spiny</t>
  </si>
  <si>
    <t>Mussels, Blue (sea)</t>
  </si>
  <si>
    <t>Oysters</t>
  </si>
  <si>
    <t>Scallops, Bay</t>
  </si>
  <si>
    <t>Scallops, Calico, Atlantic</t>
  </si>
  <si>
    <t>Scallops, Sea</t>
  </si>
  <si>
    <t>Shrimp, New England</t>
  </si>
  <si>
    <t>Shrimp, South Atlantic</t>
  </si>
  <si>
    <t>Shrimp, Gulf</t>
  </si>
  <si>
    <t>Shrimp, Pacific</t>
  </si>
  <si>
    <t>Shrimp, Other</t>
  </si>
  <si>
    <t>Squid, Atlantic, Illex</t>
  </si>
  <si>
    <t>Squid, Atlantic, Loligo</t>
  </si>
  <si>
    <t>Squid, Atlantic, Unclassified</t>
  </si>
  <si>
    <t>Other shellfish</t>
  </si>
  <si>
    <t>Other</t>
  </si>
  <si>
    <t>Sea urchins</t>
  </si>
  <si>
    <t>Seaweed, unclassified</t>
  </si>
  <si>
    <t>Kelp (w/herring eggs)</t>
  </si>
  <si>
    <t>Worms</t>
  </si>
  <si>
    <t>Chubs</t>
  </si>
  <si>
    <t>Squid, Pacific, Loligo</t>
  </si>
  <si>
    <t>Squid, Pacific, Unclassified</t>
  </si>
  <si>
    <t>Assumptions</t>
  </si>
  <si>
    <t xml:space="preserve">human food and for industrial purposes (i.e. bait, pet  </t>
  </si>
  <si>
    <t>food, as defined under footnote 2 on page 5)</t>
  </si>
  <si>
    <t>-According to page iv, figures include commercial</t>
  </si>
  <si>
    <t>Atlantic Croaker</t>
  </si>
  <si>
    <t xml:space="preserve">Atlantic Mackerel </t>
  </si>
  <si>
    <t>Black Drum</t>
  </si>
  <si>
    <t>Black Sea Bass</t>
  </si>
  <si>
    <t>Dolphin</t>
  </si>
  <si>
    <t>Gag</t>
  </si>
  <si>
    <t>Gray snapper</t>
  </si>
  <si>
    <t>Gray triggerfish</t>
  </si>
  <si>
    <t>Greater amberjack</t>
  </si>
  <si>
    <t>King mackerel</t>
  </si>
  <si>
    <t>Red drum</t>
  </si>
  <si>
    <t>Red snapper</t>
  </si>
  <si>
    <t>Sand seatrout</t>
  </si>
  <si>
    <t>Scup</t>
  </si>
  <si>
    <t>Sheepshead</t>
  </si>
  <si>
    <t>Southern flounder</t>
  </si>
  <si>
    <t>Spanish mackerel</t>
  </si>
  <si>
    <t>Spotted seatrout</t>
  </si>
  <si>
    <t>Stiped bass</t>
  </si>
  <si>
    <t>Summer flounder</t>
  </si>
  <si>
    <t>Tautog</t>
  </si>
  <si>
    <t>Vermillion snapper</t>
  </si>
  <si>
    <t>Weakfish</t>
  </si>
  <si>
    <t>Winter flounder</t>
  </si>
  <si>
    <t>Atlantic</t>
  </si>
  <si>
    <t>Ave Weight</t>
  </si>
  <si>
    <t>-All data by number of individuals, not weight</t>
  </si>
  <si>
    <t>Pacific</t>
  </si>
  <si>
    <t>w/in US (lbs.)</t>
  </si>
  <si>
    <t>by US vessel (lbs.)</t>
  </si>
  <si>
    <t>w/in US (thousand lbs.)</t>
  </si>
  <si>
    <t>by US vessel (thousand lbs.)</t>
  </si>
  <si>
    <t>Source</t>
  </si>
  <si>
    <t>Notes</t>
  </si>
  <si>
    <t>Record</t>
  </si>
  <si>
    <t>Greenling family</t>
  </si>
  <si>
    <t>www.alaskaonline.org/fish/saltwater.htm</t>
  </si>
  <si>
    <t>www.wh.whoi.edu/fbi/age-man.htm</t>
  </si>
  <si>
    <t>www.wh.whoi.edu/newpage/spsyn.html</t>
  </si>
  <si>
    <t>www.wa.gov/wdfw/outreach/fishing/bigfish.htm</t>
  </si>
  <si>
    <t>www.dep.state.fl.us/marine/html/ofmas/fishing_lines/complete.html</t>
  </si>
  <si>
    <t>www.dfg.ca.gov/Mrd/mspcont7.html</t>
  </si>
  <si>
    <t>indian-river.fl.us/playing/fishing/saltwtr/tarplady.html</t>
  </si>
  <si>
    <t>www.cindyjay.com/cindyjay/little.html</t>
  </si>
  <si>
    <t>www.mgfx.com/fishing/regions/florida/fish/fish07.htm</t>
  </si>
  <si>
    <t>www.dnr.state.sc.us/marine/pub/seascience/inshare.html</t>
  </si>
  <si>
    <t>wetline.com/fishing/fish2.htm</t>
  </si>
  <si>
    <t>www.gortons.com/cookbook/gl_sa_sh.html</t>
  </si>
  <si>
    <t>bcadventure.com/adventure/angling/protalk/reid/hotspot/renfrew.htm</t>
  </si>
  <si>
    <t>absolute-sway.com/ifa/april98/sheapshead.html</t>
  </si>
  <si>
    <t>www.sportsmans-paradise.com/species/spanishmackerel.html</t>
  </si>
  <si>
    <t>panesu.esu14.k12.ne.us/~hps/nsfish.html</t>
  </si>
  <si>
    <t>www.outdoor-adventures.com/anglers/missinaibi/fish.htm</t>
  </si>
  <si>
    <t>ave1=ave of range</t>
  </si>
  <si>
    <t>Ave1</t>
  </si>
  <si>
    <t>Ave2</t>
  </si>
  <si>
    <t>max=max or rec; ave1=ave of range</t>
  </si>
  <si>
    <t>www.marineflyfishing.com/</t>
  </si>
  <si>
    <t>record,max,ave1=eastcoast;ave2=west</t>
  </si>
  <si>
    <t>common Bonito</t>
  </si>
  <si>
    <t>record="Creek chub"</t>
  </si>
  <si>
    <t>ave1="Pacific Pile perch"; ave2="Pacific striped"</t>
  </si>
  <si>
    <t>ave2="Pacific surf smelt"</t>
  </si>
  <si>
    <t>ave of black,blue,brown,copper,gopher,grass</t>
  </si>
  <si>
    <t>30, 32</t>
  </si>
  <si>
    <t>Final average</t>
  </si>
  <si>
    <t>Discard mortality rate</t>
  </si>
  <si>
    <t>calculated by taking the average mortality percentage</t>
  </si>
  <si>
    <t>for different areas for 4 species of commercial fisheries:</t>
  </si>
  <si>
    <t>halibut, crab, salmon, shrimp as found in tables 13, 15,</t>
  </si>
  <si>
    <t>16, and 17b in source 31A</t>
  </si>
  <si>
    <t>Bycatch species</t>
  </si>
  <si>
    <t>Mortality %</t>
  </si>
  <si>
    <t>ave</t>
  </si>
  <si>
    <t>Crab</t>
  </si>
  <si>
    <t>salmon</t>
  </si>
  <si>
    <t>shrimp</t>
  </si>
  <si>
    <t>total ave</t>
  </si>
  <si>
    <t>assumptions: average discard mortality rate (41%) was</t>
  </si>
  <si>
    <t>Ave3</t>
  </si>
  <si>
    <t>rec,max=eastcoast; ave2=west</t>
  </si>
  <si>
    <t xml:space="preserve">ave1=ave "common" range; ave2=ave "ave" range </t>
  </si>
  <si>
    <t>ave1=ave of range; ave2,3 for "chicken" halibut</t>
  </si>
  <si>
    <t>ave1=ave of all tuna other than listed above</t>
  </si>
  <si>
    <t>should use ave of rockfishes above</t>
  </si>
  <si>
    <t>3, 6, 10</t>
  </si>
  <si>
    <t>3, 5</t>
  </si>
  <si>
    <t>11, 7</t>
  </si>
  <si>
    <t>Washington State record; ave1=ave of range</t>
  </si>
  <si>
    <t>7, 11</t>
  </si>
  <si>
    <t>WA record; max=ave of max range for "San Juan Northern"</t>
  </si>
  <si>
    <t>ave1=ave of range; ave2=ave of range for 3 species of sardines</t>
  </si>
  <si>
    <t>24, 27</t>
  </si>
  <si>
    <t>taken from above row</t>
  </si>
  <si>
    <t>24, 28</t>
  </si>
  <si>
    <t>max for "northern"</t>
  </si>
  <si>
    <t>5, 6</t>
  </si>
  <si>
    <t>5, 19</t>
  </si>
  <si>
    <t>18, 18</t>
  </si>
  <si>
    <t>5, 18</t>
  </si>
  <si>
    <t>ave1 taken from ave 1 below as in notes</t>
  </si>
  <si>
    <t>figure for both shads</t>
  </si>
  <si>
    <t>record=state records</t>
  </si>
  <si>
    <t>8, 13</t>
  </si>
  <si>
    <t>record=ave of most states records for various species</t>
  </si>
  <si>
    <t>5, 6, 6</t>
  </si>
  <si>
    <t>ave2=ave of range</t>
  </si>
  <si>
    <t>ave1, 2=ave of range</t>
  </si>
  <si>
    <t>13, 13, 20</t>
  </si>
  <si>
    <t>Tilefish</t>
  </si>
  <si>
    <t>3, 6, 6</t>
  </si>
  <si>
    <t>2, 5</t>
  </si>
  <si>
    <t>14, 15</t>
  </si>
  <si>
    <t>ave1=#1jimmies; ave2=#2jimmies</t>
  </si>
  <si>
    <t>6, 16</t>
  </si>
  <si>
    <t>21, 22</t>
  </si>
  <si>
    <t>meat weights</t>
  </si>
  <si>
    <t>w/shell; ave1=ave of range</t>
  </si>
  <si>
    <t>meat weights; ave1=ave of range</t>
  </si>
  <si>
    <t>ave1=ave of range for 2 types: littlenecks and cherrystones</t>
  </si>
  <si>
    <t>Max1</t>
  </si>
  <si>
    <t>MR ratio</t>
  </si>
  <si>
    <t>Max0(adj rec)</t>
  </si>
  <si>
    <t>Ave MR ratio</t>
  </si>
  <si>
    <t>AveMax</t>
  </si>
  <si>
    <t>Ave0(r*avemax)</t>
  </si>
  <si>
    <t>Final Average</t>
  </si>
  <si>
    <t>-Source order (Record, Max1, Ave1, Ave2)</t>
  </si>
  <si>
    <t># of Fish (w/in U.S.)</t>
  </si>
  <si>
    <t># of Fish (U.S. vessels)</t>
  </si>
  <si>
    <t>Totals:</t>
  </si>
  <si>
    <t>-Mollusk aquaculture included in commercial data</t>
  </si>
  <si>
    <t>(but not finfish)</t>
  </si>
  <si>
    <t>U.S. AQUACULTURE (1996)</t>
  </si>
  <si>
    <t>U.S. COMMERCIAL LANDINGS (1997)</t>
  </si>
  <si>
    <t>Baitfish</t>
  </si>
  <si>
    <t>Catfish</t>
  </si>
  <si>
    <t>Salmon</t>
  </si>
  <si>
    <t>Tilapia</t>
  </si>
  <si>
    <t>Trout</t>
  </si>
  <si>
    <t>29, 30</t>
  </si>
  <si>
    <t>Atlantic cod</t>
  </si>
  <si>
    <t>www.mbl.edu</t>
  </si>
  <si>
    <t>16, 47</t>
  </si>
  <si>
    <t>not clear whether this is shell or meat weight</t>
  </si>
  <si>
    <t>ave1=ave of all other species of clams</t>
  </si>
  <si>
    <t>ave1=ave of all other species of crabs</t>
  </si>
  <si>
    <t>"jumbo" lobsters</t>
  </si>
  <si>
    <t>ave1=ave of range; meat weights</t>
  </si>
  <si>
    <t>these sea shrimp don't vary in size; all have this ave</t>
  </si>
  <si>
    <t>www.regionlink.com/grampian/macduffshellfish/misc.html</t>
  </si>
  <si>
    <t>ave1=ave of all other squid</t>
  </si>
  <si>
    <t>51, 52</t>
  </si>
  <si>
    <t>13, 52</t>
  </si>
  <si>
    <t>35, 52</t>
  </si>
  <si>
    <t>3,2,52,20,33</t>
  </si>
  <si>
    <t>6, 40, 52</t>
  </si>
  <si>
    <t>All Sea Animal Totals:</t>
  </si>
  <si>
    <t>Shellfish Totals:</t>
  </si>
  <si>
    <t>Finfish Totals:</t>
  </si>
  <si>
    <t>Weight landed</t>
  </si>
  <si>
    <t># of fish</t>
  </si>
  <si>
    <t>Finfish Species</t>
  </si>
  <si>
    <t>Shellfish Species</t>
  </si>
  <si>
    <t>38, 52</t>
  </si>
  <si>
    <t xml:space="preserve">  Reduction:</t>
  </si>
  <si>
    <t>Aquaculture Species</t>
  </si>
  <si>
    <t># Caught (thousands)</t>
  </si>
  <si>
    <t>Pounds (thousands)</t>
  </si>
  <si>
    <t>Barred sandbass</t>
  </si>
  <si>
    <t>Barred surfperch</t>
  </si>
  <si>
    <t>Black rockfish</t>
  </si>
  <si>
    <t>Blue rockfish</t>
  </si>
  <si>
    <t>Bocaccio</t>
  </si>
  <si>
    <t>Brown rockfish</t>
  </si>
  <si>
    <t>Cabezon</t>
  </si>
  <si>
    <t>California halibut</t>
  </si>
  <si>
    <t>Canary rockfish</t>
  </si>
  <si>
    <t>Chilipepper rockfish</t>
  </si>
  <si>
    <t>Copper rockfish</t>
  </si>
  <si>
    <t>Corbina</t>
  </si>
  <si>
    <t>Gopher rockfish</t>
  </si>
  <si>
    <t>Grass rockfish</t>
  </si>
  <si>
    <t>Kelp bass</t>
  </si>
  <si>
    <t>Kelp greenling</t>
  </si>
  <si>
    <t>Pacific barracuda</t>
  </si>
  <si>
    <t>Pacific bonito</t>
  </si>
  <si>
    <t>Pacific cod</t>
  </si>
  <si>
    <t>Pacific chub mackerel</t>
  </si>
  <si>
    <t>Pacific sardine</t>
  </si>
  <si>
    <t>Pile perch</t>
  </si>
  <si>
    <t>Quilback rockfish</t>
  </si>
  <si>
    <t>Redtail surfperch</t>
  </si>
  <si>
    <t>Sheepshead (Cal.)</t>
  </si>
  <si>
    <t>Silver surfperch</t>
  </si>
  <si>
    <t>Striped seaperch</t>
  </si>
  <si>
    <t>Surf smelt</t>
  </si>
  <si>
    <t>White croaker</t>
  </si>
  <si>
    <t>White sturgeon</t>
  </si>
  <si>
    <t>Yellowtail</t>
  </si>
  <si>
    <t>Yellowtail rockfish</t>
  </si>
  <si>
    <t>Ave MR ratio:</t>
  </si>
  <si>
    <t>Max0</t>
  </si>
  <si>
    <t>Ave0</t>
  </si>
  <si>
    <t>Final</t>
  </si>
  <si>
    <t>record=ave rec for 3 species of N.A. bullhead</t>
  </si>
  <si>
    <t>ave1=ave range for 2: littlenecks and cherrystones</t>
  </si>
  <si>
    <t>record=ave most states records for various species</t>
  </si>
  <si>
    <t>WA record; max=ave range for "San Juan Northern"</t>
  </si>
  <si>
    <t>Average weight of species</t>
  </si>
  <si>
    <t>Source = 32</t>
  </si>
  <si>
    <t>ave1=range</t>
  </si>
  <si>
    <t>Sea trout or weak fish, Sand</t>
  </si>
  <si>
    <t>5, 53</t>
  </si>
  <si>
    <t>2, 3, 53</t>
  </si>
  <si>
    <t>11, 53</t>
  </si>
  <si>
    <t>13, 5, 53, 52</t>
  </si>
  <si>
    <t>3, 10, 53</t>
  </si>
  <si>
    <t>3, 6, 53</t>
  </si>
  <si>
    <t>53, 53</t>
  </si>
  <si>
    <t>6, 53</t>
  </si>
  <si>
    <t>24, 53</t>
  </si>
  <si>
    <t>5, 6, 53</t>
  </si>
  <si>
    <t>5, 19, 53</t>
  </si>
  <si>
    <t>18, 18, 53</t>
  </si>
  <si>
    <t>13, 53</t>
  </si>
  <si>
    <t>18, 53</t>
  </si>
  <si>
    <t>13, 6, 53</t>
  </si>
  <si>
    <t>8, 13, 53</t>
  </si>
  <si>
    <t>5, 5, 53</t>
  </si>
  <si>
    <t>30, 53</t>
  </si>
  <si>
    <t>18,18,18,33</t>
  </si>
  <si>
    <t>33,53</t>
  </si>
  <si>
    <t>3, 6, 6, 33</t>
  </si>
  <si>
    <t>3,17,53,33</t>
  </si>
  <si>
    <t>3,5,33,49</t>
  </si>
  <si>
    <t>7, 11, 33</t>
  </si>
  <si>
    <t>6, 33</t>
  </si>
  <si>
    <t>3, 6, 33</t>
  </si>
  <si>
    <t>3, 33</t>
  </si>
  <si>
    <t>16, 33</t>
  </si>
  <si>
    <t>Commercial Totals</t>
  </si>
  <si>
    <t>Aquaculture Totals</t>
  </si>
  <si>
    <t>Recreational Totals</t>
  </si>
  <si>
    <t>Discard Mortality Totals</t>
  </si>
  <si>
    <t>No. of Fish</t>
  </si>
  <si>
    <t>Discard Mortality</t>
  </si>
  <si>
    <t>Total Killed</t>
  </si>
  <si>
    <t xml:space="preserve">Total No. of Fish Discarded </t>
  </si>
  <si>
    <t>Discard Mortality Rate</t>
  </si>
  <si>
    <t>MR Ratio</t>
  </si>
  <si>
    <t>The Sardine Factory: 831-373-3775</t>
  </si>
  <si>
    <t>www.gaaliance.org/index.html</t>
  </si>
  <si>
    <t>ag.ansc.purdue.edu/aquanic/publicat/state/md/mdwms.htm</t>
  </si>
  <si>
    <t>www.fieldandstream.com/fishing/</t>
  </si>
  <si>
    <t>www.state.va.us/~vdacs/flounder.htm</t>
  </si>
  <si>
    <t>www.newsminer.com/heartland/hland81896/asf.htm</t>
  </si>
  <si>
    <t>www.wh.whoi-edu/sos/spsyn/species.html</t>
  </si>
  <si>
    <t>fishingpal.com/99saltspecies.htm</t>
  </si>
  <si>
    <t>www.chesbay.org</t>
  </si>
  <si>
    <t>www.seabass.com</t>
  </si>
  <si>
    <t>www.kingpanga.com/fishreport/casportfish.htm</t>
  </si>
  <si>
    <t>www.westsound.com/ptmudge/fishing/fishing2.htm</t>
  </si>
  <si>
    <t>hawaii-seafood.org/hebi.html</t>
  </si>
  <si>
    <t>207.87.27.10/tool/toolbox/fishforecast/glossery/glosslist.htm</t>
  </si>
  <si>
    <t>www.ifmt.nf.ca/mi-net/gallery/index.htm</t>
  </si>
  <si>
    <t>ave1=ave of pacific flounder listed above</t>
  </si>
  <si>
    <t>ave1=ave of sharks other than dogfish</t>
  </si>
  <si>
    <t>ave2=ave of 3 speicies' ave: big, longnose, starry</t>
  </si>
  <si>
    <t>6, 41</t>
  </si>
  <si>
    <t>ave1="longbill"; ave2="shortbill"</t>
  </si>
  <si>
    <t>42, 42</t>
  </si>
  <si>
    <t>www.lobsters-online.com/htmlfiles/index.html</t>
  </si>
  <si>
    <t>www.virtualbirder.com/vbirder/realbirds/dbhsc/HSCHarvest.html</t>
  </si>
  <si>
    <t>www.geoduck.com/GeoduckDict.html</t>
  </si>
  <si>
    <t>Shrimp Growers of America: 760-599-9778</t>
  </si>
  <si>
    <t>lighthousepointe.com/fish.htm</t>
  </si>
  <si>
    <t>Audubon Field guide</t>
  </si>
  <si>
    <t>Southern Regional Aquaculture Center Publication No. 224, Jan. 1995</t>
  </si>
  <si>
    <t>Kevin Hill, California Fish and Game Commission: 619-546-7052</t>
  </si>
  <si>
    <t>Local supermarket: G.W. Market place, 21st St., Norfolk, VA  23507</t>
  </si>
  <si>
    <t>Hillman Oyster Company: 1-800-582-4416</t>
  </si>
  <si>
    <t>-Discard mortality figure is an average discard mortality rate taken from "A global assessment of fisheries bycatch"</t>
  </si>
  <si>
    <t>Clams</t>
  </si>
  <si>
    <t>Crawfish</t>
  </si>
  <si>
    <t>Mussels</t>
  </si>
  <si>
    <t>Shrimp</t>
  </si>
  <si>
    <t>U.S. LANDINGS BY U.S. VESSEL</t>
  </si>
  <si>
    <t xml:space="preserve"> Ave weight (lbs)</t>
  </si>
  <si>
    <t>AQUACULTURE</t>
  </si>
  <si>
    <t>-</t>
  </si>
  <si>
    <t>ave1=weighted ave of all fishes listed above</t>
  </si>
  <si>
    <t>ave1=weighted ave of all shellfish listed above</t>
  </si>
  <si>
    <t xml:space="preserve">Finfish </t>
  </si>
  <si>
    <r>
      <t xml:space="preserve">                 </t>
    </r>
    <r>
      <rPr>
        <u val="single"/>
        <sz val="10"/>
        <rFont val="Times New Roman"/>
        <family val="1"/>
      </rPr>
      <t>BY U.S. VESSEL</t>
    </r>
  </si>
  <si>
    <r>
      <t xml:space="preserve">      </t>
    </r>
    <r>
      <rPr>
        <u val="single"/>
        <sz val="10"/>
        <rFont val="Times New Roman"/>
        <family val="1"/>
      </rPr>
      <t>WITHIN U.S. BOUNDARIES</t>
    </r>
  </si>
  <si>
    <r>
      <t xml:space="preserve">       </t>
    </r>
    <r>
      <rPr>
        <u val="single"/>
        <sz val="10"/>
        <rFont val="Times New Roman"/>
        <family val="1"/>
      </rPr>
      <t>WITHIN U.S. BOUNDARIES</t>
    </r>
  </si>
  <si>
    <r>
      <t xml:space="preserve">                </t>
    </r>
    <r>
      <rPr>
        <u val="single"/>
        <sz val="10"/>
        <rFont val="Times New Roman"/>
        <family val="1"/>
      </rPr>
      <t>BY U.S. VESSEL</t>
    </r>
  </si>
  <si>
    <t>Ave. weight</t>
  </si>
  <si>
    <r>
      <t xml:space="preserve">Pollock </t>
    </r>
    <r>
      <rPr>
        <i/>
        <sz val="10"/>
        <rFont val="Times New Roman"/>
        <family val="1"/>
      </rPr>
      <t>(General)</t>
    </r>
  </si>
  <si>
    <r>
      <t>Sardines</t>
    </r>
    <r>
      <rPr>
        <i/>
        <sz val="10"/>
        <rFont val="Times New Roman"/>
        <family val="1"/>
      </rPr>
      <t xml:space="preserve"> (General)</t>
    </r>
  </si>
  <si>
    <r>
      <t xml:space="preserve">Herring </t>
    </r>
    <r>
      <rPr>
        <i/>
        <sz val="10"/>
        <rFont val="Times New Roman"/>
        <family val="1"/>
      </rPr>
      <t>(General)</t>
    </r>
  </si>
  <si>
    <r>
      <t xml:space="preserve">Mackerel </t>
    </r>
    <r>
      <rPr>
        <i/>
        <sz val="10"/>
        <rFont val="Times New Roman"/>
        <family val="1"/>
      </rPr>
      <t>(General)</t>
    </r>
  </si>
  <si>
    <r>
      <t xml:space="preserve">Salmon, </t>
    </r>
    <r>
      <rPr>
        <i/>
        <sz val="10"/>
        <rFont val="Times New Roman"/>
        <family val="1"/>
      </rPr>
      <t>other</t>
    </r>
  </si>
  <si>
    <r>
      <t xml:space="preserve">Tuna </t>
    </r>
    <r>
      <rPr>
        <i/>
        <sz val="10"/>
        <rFont val="Times New Roman"/>
        <family val="1"/>
      </rPr>
      <t>(General)</t>
    </r>
  </si>
  <si>
    <r>
      <t xml:space="preserve">Cod </t>
    </r>
    <r>
      <rPr>
        <i/>
        <sz val="10"/>
        <rFont val="Times New Roman"/>
        <family val="1"/>
      </rPr>
      <t>(General)</t>
    </r>
  </si>
  <si>
    <t>Canned</t>
  </si>
  <si>
    <t>Dried (Unsalted)</t>
  </si>
  <si>
    <t>Pickled or Salted</t>
  </si>
  <si>
    <t>Smoked or Kippered</t>
  </si>
  <si>
    <t>Tuna, Other</t>
  </si>
  <si>
    <r>
      <t xml:space="preserve">Flounder </t>
    </r>
    <r>
      <rPr>
        <i/>
        <sz val="10"/>
        <rFont val="Times New Roman"/>
        <family val="1"/>
      </rPr>
      <t>(General)</t>
    </r>
  </si>
  <si>
    <r>
      <t>Shad</t>
    </r>
    <r>
      <rPr>
        <i/>
        <sz val="10"/>
        <rFont val="Times New Roman"/>
        <family val="1"/>
      </rPr>
      <t xml:space="preserve"> (General)</t>
    </r>
  </si>
  <si>
    <t>Salmon, Atlantic</t>
  </si>
  <si>
    <t>Sea bass (General)</t>
  </si>
  <si>
    <r>
      <t>Snapper</t>
    </r>
    <r>
      <rPr>
        <i/>
        <sz val="10"/>
        <rFont val="Times New Roman"/>
        <family val="1"/>
      </rPr>
      <t xml:space="preserve"> (General)</t>
    </r>
  </si>
  <si>
    <t>Lobsters, Rock</t>
  </si>
  <si>
    <t>Lobsters, Other</t>
  </si>
  <si>
    <r>
      <t xml:space="preserve">Shrimp </t>
    </r>
    <r>
      <rPr>
        <i/>
        <sz val="10"/>
        <rFont val="Times New Roman"/>
        <family val="1"/>
      </rPr>
      <t>(General)</t>
    </r>
  </si>
  <si>
    <r>
      <t>Clams</t>
    </r>
    <r>
      <rPr>
        <i/>
        <sz val="10"/>
        <rFont val="Times New Roman"/>
        <family val="1"/>
      </rPr>
      <t xml:space="preserve"> (General)</t>
    </r>
  </si>
  <si>
    <r>
      <t>Squid</t>
    </r>
    <r>
      <rPr>
        <i/>
        <sz val="10"/>
        <rFont val="Times New Roman"/>
        <family val="1"/>
      </rPr>
      <t xml:space="preserve"> (General)</t>
    </r>
  </si>
  <si>
    <r>
      <t>Hake</t>
    </r>
    <r>
      <rPr>
        <i/>
        <sz val="10"/>
        <rFont val="Times New Roman"/>
        <family val="1"/>
      </rPr>
      <t xml:space="preserve"> (General)</t>
    </r>
  </si>
  <si>
    <r>
      <t>Salmon</t>
    </r>
    <r>
      <rPr>
        <i/>
        <sz val="10"/>
        <rFont val="Times New Roman"/>
        <family val="1"/>
      </rPr>
      <t xml:space="preserve"> (General)</t>
    </r>
  </si>
  <si>
    <r>
      <t xml:space="preserve">Menhaden </t>
    </r>
    <r>
      <rPr>
        <i/>
        <sz val="10"/>
        <rFont val="Times New Roman"/>
        <family val="1"/>
      </rPr>
      <t>(General)</t>
    </r>
  </si>
  <si>
    <r>
      <t xml:space="preserve">Ocean perch </t>
    </r>
    <r>
      <rPr>
        <i/>
        <sz val="10"/>
        <rFont val="Times New Roman"/>
        <family val="1"/>
      </rPr>
      <t>(General)</t>
    </r>
  </si>
  <si>
    <r>
      <t xml:space="preserve">Scallops </t>
    </r>
    <r>
      <rPr>
        <i/>
        <sz val="10"/>
        <rFont val="Times New Roman"/>
        <family val="1"/>
      </rPr>
      <t>(General)</t>
    </r>
  </si>
  <si>
    <t>Crabs, Snow</t>
  </si>
  <si>
    <t>Crabs, Swimming</t>
  </si>
  <si>
    <r>
      <t xml:space="preserve">Lobsters </t>
    </r>
    <r>
      <rPr>
        <i/>
        <sz val="10"/>
        <rFont val="Times New Roman"/>
        <family val="1"/>
      </rPr>
      <t>(General)</t>
    </r>
  </si>
  <si>
    <t>Lobster meat</t>
  </si>
  <si>
    <t>Cuttlefish</t>
  </si>
  <si>
    <t>Octopus</t>
  </si>
  <si>
    <t>3274</t>
  </si>
  <si>
    <t>87</t>
  </si>
  <si>
    <t>Number of fish</t>
  </si>
  <si>
    <t>Fish weight</t>
  </si>
  <si>
    <t>"A total of 39 whole raw cuttlefish with an average weight of 536 g (range 176–823 g) and 59 whole raw squid with an average weight of 190 g (range 63–577 g)" Source: Paulo Vaz-Piresa and Pedro Seixas, “Development of new quality index method (QIM) schemes for cuttlefish (Sepia officinalis) and broadtail shortfin squid (Illex coindetii)”, Food Control, Volume 17, Issue 12, December 2006, Pages 942-949, http://www.sciencedirect.com/science?_ob=ArticleURL&amp;_udi=B6T6S-4J4B963-1&amp;_user=10&amp;_coverDate=12%2F31%2F2006&amp;_rdoc=1&amp;_fmt=&amp;_orig=search&amp;_sort=d&amp;view=c&amp;_acct=C000050221&amp;_version=1&amp;_urlVersion=0&amp;_userid=10&amp;md5=8706ac5014958dc8a4209205456d1280</t>
  </si>
  <si>
    <t>Gulf of Alaska catch</t>
  </si>
  <si>
    <t>M. Elizabeth Conners and Elaina Jorgensen, "Appendix D: Octopus Complex", NPFMC Gulf of Alaska SAFE, p.452, http://www.afsc.noaa.gov/refm/docs/2006/GOAocto.pdf</t>
  </si>
  <si>
    <t>"According to the Alaska Seafood Institute, snow crab meat yield is 38 percent of meat-in-shell weight." Gail Reynolds, “Classic Crab”, News-Leader, 13 Apr 2005, http://springfield.news-leader.com/lifestyle/food/20050413-ClassicCrab.html.</t>
  </si>
  <si>
    <t>"An average blue crab weighs about 1/3 pound with the edible portion quite low. An experienced crab picker can produce about 2 1/4 ounces of meat from each pound of live blue crabs. This is about a 14 percent yield. The actual yield depends on the size of the individual crab and experience of the crab picker." Don E. Sweat, "Fish Facts for Florida Consumers: Blue Crab", Florida Sea Grant College Program, http://nsgl.gso.uri.edu/flsgp/flsgpg00006.pdf.</t>
  </si>
  <si>
    <t>ave3=all blue crabs (see swimming crabs)</t>
  </si>
  <si>
    <t>16,57</t>
  </si>
  <si>
    <t>Crabmeat, Blue</t>
  </si>
  <si>
    <t>Crabmeat, Snow</t>
  </si>
  <si>
    <t>"Lobster has an average meat yield of 20 to 25 percent." "All About Lobster", Agriculture, Fisheries and Aquaculture, Prince Edward Island Canada, http://www.gov.pe.ca/af/agweb/index.php3?number=1002000</t>
  </si>
  <si>
    <t>"Lobsters are known to have about a 20% meat yield." This can be averaged with 22.5% from the above source to give 21.25%. "Lobster FAQs", The Lobster Place, http://www.lobsterplace.com/assets/images/lobsterfaq.pdf</t>
  </si>
  <si>
    <t>58,59</t>
  </si>
  <si>
    <t>Average rock lobster pot weight for each area of Tasmania were 757g, 757g, 757g, 1323g, 1268g, 915g, 812g, 757g, giving an average of 918g or 2.024 lbs. J.M. Lyle and A.J. Morton, "Tasmanian Recreational Rock Lobster and Abalone Fisheries - 2004/05 Fishing Season", TAFI Report, Feb 06, p. 16, Table 4, http://www.utas.edu.au/tafi/PDF_files/0405_RLAB_FISHWISE.pdf</t>
  </si>
  <si>
    <t>Tasmania</t>
  </si>
  <si>
    <t>Average finfish weight</t>
  </si>
  <si>
    <t>"The average weight for all fish combined was 1.4 pounds." This refers to recreational marine US catch excluding baitfish, and recreational fishing targets large fish (not anchovies!) this is probably an overestimate, making discard estimates too low, but we're being conservative. "US Marine Recreational Fisheries", http://www.st.nmfs.gov/st1/fus/fus98/rec/rf-text98.pdf. Survey 1979-1998.</t>
  </si>
  <si>
    <t>Avg recreational marine catch (overestimate)</t>
  </si>
  <si>
    <t>Percent of landed weight after smoking given for Cod fillet 32-35%, finnan haddock 50-60%, golden cutlet 25-30%, smokie 45-50%, kipper 65-70%, bloater 68-80%, red herring 60-62%, salmon sides 45-60%, mackerel (hot smoked whole gutted) 60%, eel (ditto) 65-75%, giving an overall average of 63.5% used herein. Source: J.J. Waterman, "Measures, Stowage Rates and Yields of Fishery Products", Torry Advisory Note 17, Department of Scientific and Industrial Research, FAO in partnership with Support unit for International Fisheries and Aquatic Research, SIFAR, 2001, under "Yields" table 3.</t>
  </si>
  <si>
    <t>62</t>
  </si>
  <si>
    <t>SOURCES:</t>
  </si>
  <si>
    <t>The yield for unsalted drying of cod heads is 21.2% of raw weight; I used this as an estimate for all dried fish, and estimate supported by the similar figure for dried capelin in Fig 5 (p.30). Source: Sigurjón Arason, "The Drying of Fish and Utilization of Geothermal Energy", GHC Bulletin, Dec 2005, p.29(27-33), http://geoheat.oit.edu/bulletin/bull24-4/art7.pdf.</t>
  </si>
  <si>
    <t>Assuming this refers to green (i.e. wet) salted rather than dry salted, the weight of salted split cod is 50% (heavy cure) to 60% (light cure) of the original weight. Source: J.J. Waterman, "Measures, Stowage Rates and Yields of Fishery Products", Torry Advisory Note 17, Department of Scientific and Industrial Research, FAO in partnership with Support unit for International Fisheries and Aquatic Research, SIFAR, 2001, under "Yields" table 4.</t>
  </si>
  <si>
    <t>Frozen whole fish is the same weight as landed weight. Imports/exports may be gutted or steaks, so this make underestimate the number of fish. Source: J.J. Waterman, "Measures, Stowage Rates and Yields of Fishery Products", Torry Advisory Note 17, Department of Scientific and Industrial Research, FAO in partnership with Support unit for International Fisheries and Aquatic Research, SIFAR, 2001, under "Yields" table 5</t>
  </si>
  <si>
    <t>Weight (1000 lbs)</t>
  </si>
  <si>
    <t>Diff from 2006</t>
  </si>
  <si>
    <t>Bass</t>
  </si>
  <si>
    <t>Sauger</t>
  </si>
  <si>
    <t>Pike, Pickerel</t>
  </si>
  <si>
    <t>Perch, Pike Perch, Yellow Pike</t>
  </si>
  <si>
    <t>Turbot, Greenland</t>
  </si>
  <si>
    <t>Tuna, Yellowfin dressed head-on</t>
  </si>
  <si>
    <t>Tuna, Yellowfin dressed head-off</t>
  </si>
  <si>
    <t>Mackerel, Atka</t>
  </si>
  <si>
    <t>Toothfish</t>
  </si>
  <si>
    <t>Crabmeat, Dungeness</t>
  </si>
  <si>
    <t>Crabmeat, King</t>
  </si>
  <si>
    <t>Crabmeat, Swimming</t>
  </si>
  <si>
    <t>Snails</t>
  </si>
  <si>
    <t>Bonito, Yellowtail, Pollock</t>
  </si>
  <si>
    <t>Pastes and Sauces</t>
  </si>
  <si>
    <t>Fish and Shellfish Juice</t>
  </si>
  <si>
    <t>Soups and Broths</t>
  </si>
  <si>
    <t>Unclassified</t>
  </si>
  <si>
    <t>Cusk, Haddock</t>
  </si>
  <si>
    <t>199</t>
  </si>
  <si>
    <t>Fillets and Steaks</t>
  </si>
  <si>
    <t>Orange Roughy</t>
  </si>
  <si>
    <t>Perch</t>
  </si>
  <si>
    <t>Pickerel</t>
  </si>
  <si>
    <t>Pike Perch, Yellow Pike</t>
  </si>
  <si>
    <t>Turbot</t>
  </si>
  <si>
    <t>Sole (General)</t>
  </si>
  <si>
    <t>"Turbot can reach 30 pounds but are generally marketed at weights closer to 3 to 6 pounds."</t>
  </si>
  <si>
    <t>Food Lovers Companion, Answers.com, http://www.answers.com/topic/turbot</t>
  </si>
  <si>
    <t>"The average weight of a commercially caught toothfish is 9–10 kilograms (20 pounds to 22)"</t>
  </si>
  <si>
    <t>Orange roughy</t>
  </si>
  <si>
    <t>"the most common fish to be caught are around 1 lb"</t>
  </si>
  <si>
    <t>"Pickerel are the smallest-generally weighing 2 to 3 pounds. "</t>
  </si>
  <si>
    <t>Food Lovers Companion, Answers.com, http://www.answers.com/topic/pike</t>
  </si>
  <si>
    <t>Pike</t>
  </si>
  <si>
    <t>"Pike range from 4 to 10 pounds"</t>
  </si>
  <si>
    <t>"The orange roughy is the largest known species of slimehead at a maximum standard length (SL, a measurement excluding the tail fin) of 75 centimetres and a maximum weight of seven kilograms. However, the average commercial catch size is 30 to 40 cm SL." From this we can calculate an average commercial catch weight of (7 kg)*(35/75)^3=.71 kg=1.57 lb</t>
  </si>
  <si>
    <t>Snail</t>
  </si>
  <si>
    <t>three common species adult weights: 25-45 g, 7-15 g, 20-30g</t>
  </si>
  <si>
    <t>(Fish oils, caviar/roe, and prepared meals not included)</t>
  </si>
  <si>
    <t>Crabmeat, Other</t>
  </si>
  <si>
    <t>NET IMPORTS (No. of fish)</t>
  </si>
  <si>
    <t>Number of fish killed for US consumption</t>
  </si>
  <si>
    <t>SUMMARY OF SEA ANIMALS KILLED BY U.S. CONSUMPTION IN 2006</t>
  </si>
  <si>
    <t>SUMMARY OF SEA ANIMALS KILLED BY U.S. CONSUMPTION IN 2007</t>
  </si>
  <si>
    <t>DISCARD MORTALITY for US CONSUMPTION</t>
  </si>
  <si>
    <t>TOTAL</t>
  </si>
  <si>
    <t>Croaker, Pacific (white)</t>
  </si>
  <si>
    <t>Smelts (capelin)</t>
  </si>
  <si>
    <t>Fisheries of the US 2008</t>
  </si>
  <si>
    <t>Fisheries of the US 2006</t>
  </si>
  <si>
    <t>Fresh and Frozen, Whether or Not Whole</t>
  </si>
  <si>
    <t>Fresh and Frozen, Blocks, Regular</t>
  </si>
  <si>
    <t>Fresh and Frozen, Blocks, Minced</t>
  </si>
  <si>
    <t>Fresh or Frozen (Whether or Not Whole and Blocks, Regular and Minced)</t>
  </si>
  <si>
    <t>Shrimp (General), peeled</t>
  </si>
  <si>
    <t>Shrimp (General), peeled other</t>
  </si>
  <si>
    <t>Shrimp (General), breaded</t>
  </si>
  <si>
    <t xml:space="preserve"> </t>
  </si>
  <si>
    <t>Fish sticks and surimi</t>
  </si>
  <si>
    <t>Shark fins</t>
  </si>
  <si>
    <t>Cod, Cusk, Haddock, Hake, Pollock</t>
  </si>
  <si>
    <t>H. Vilhjalmsson, "Capelin biology and ecology: Capelin (Mallotus villosus) in the Iceland–East Greenland–Jan Mayen ecosystem", ICES Journal of Marine Science 59: 870–883. 2002, p. 879, Table 8. http://icesjms.oxfordjournals.org/cgi/reprint/59/5/870.pdf,</t>
  </si>
  <si>
    <t>Number of shellfish</t>
  </si>
  <si>
    <t>Shellfish weight</t>
  </si>
  <si>
    <t>Halibut, Greenland Trout</t>
  </si>
  <si>
    <t>Goosefish (anglerfish, monkfish)</t>
  </si>
  <si>
    <t>Scorpionfish</t>
  </si>
  <si>
    <t>Percent of total:</t>
  </si>
  <si>
    <t>Fresh and Frozen</t>
  </si>
  <si>
    <t>2006</t>
  </si>
  <si>
    <t>2008</t>
  </si>
  <si>
    <t>2007</t>
  </si>
  <si>
    <t>1996</t>
  </si>
  <si>
    <t>Released killed</t>
  </si>
  <si>
    <t>Total killed</t>
  </si>
  <si>
    <t>RECREATIONAL FISHING</t>
  </si>
  <si>
    <t>FINFISH</t>
  </si>
  <si>
    <t>SHELLFISH</t>
  </si>
  <si>
    <t>Total Finfish</t>
  </si>
  <si>
    <t>Thousand lbs</t>
  </si>
  <si>
    <t>Individuals</t>
  </si>
  <si>
    <t>Total Shellfish</t>
  </si>
  <si>
    <t>-Some clam and oyster production are included as commercial rather than aquaculture</t>
  </si>
  <si>
    <t>2004</t>
  </si>
  <si>
    <t>2005</t>
  </si>
  <si>
    <t>-Baitfish figure not available after 2004, so we used 2004</t>
  </si>
  <si>
    <t>-Does not include eels, crabs, scallops, and others, which are lumped by the USDA into "Miscellaneous" along with algae, ornamental fish, and others, making this an underestimate</t>
  </si>
  <si>
    <t>*Balls, cakes, and puddings were divided among fish and shellfish proportionally to that year's totals.</t>
  </si>
  <si>
    <t>Balls, cakes, and puddings (* see note below)</t>
  </si>
  <si>
    <t>Other (not used in calculation)</t>
  </si>
  <si>
    <t>Other (frog legs, reptile meat) (not used in calculation)</t>
  </si>
  <si>
    <t>Michael Chadwick, "Water, science and the public: the Miramichi ecosysem", Canadian Special Publications of Fisheries and Aquatic Sciences 123, National Research Council Canada, http://books.google.com/books?id=x6plfusR_0QC&amp;pg=PA125&amp;lpg=PA125&amp;dq=average+weight+"per+fish"+commercial+fish+catch&amp;source=bl&amp;ots=POqj0Jdi0L&amp;sig=4V372tFm1BZ-VpcLpD7BMz4UbI4&amp;hl=en&amp;ei=ZsBgSo3eEJKslAeZn53mCQ&amp;sa=X&amp;oi=book_result&amp;ct=result&amp;resnum=9#v=onepage&amp;q=average%20weight%20%22per%20fish%22%20commercial%20fish%20catch&amp;f=false</t>
  </si>
  <si>
    <t>U.S. Discard Rate</t>
  </si>
  <si>
    <t>Global discard rate</t>
  </si>
  <si>
    <t>NET IMPORTS (fish weight)</t>
  </si>
  <si>
    <t>Total Discards (1000 lbs)</t>
  </si>
  <si>
    <t>Ave. Finfish Weight (lbs)</t>
  </si>
  <si>
    <t>From Annex A Table 14, Source 75</t>
  </si>
  <si>
    <t>Kiernan Kelleher, "Discards in the World's Marine Fisheries: An Update", Fishing Technology Service, FAO Fisheries Department, Rome 2005, http://www.fao.org/docrep/008/y5936e/y5936e0d.htm#bm13.1</t>
  </si>
  <si>
    <t>Total No. of Discards Killed for U.S.</t>
  </si>
  <si>
    <t>6, 75</t>
  </si>
  <si>
    <t>6, 33, 75</t>
  </si>
  <si>
    <t>6, 53, 75</t>
  </si>
  <si>
    <t>5, 25, 76</t>
  </si>
  <si>
    <t>ave1, ave2, ave3=ave of range</t>
  </si>
  <si>
    <t>Fisheries of the US 2010</t>
  </si>
  <si>
    <t>-All figures from Fisheries of the United States 2010 (and preceding years)</t>
  </si>
  <si>
    <t>2010</t>
  </si>
  <si>
    <t>*In 2006 these categories were lumped together</t>
  </si>
  <si>
    <t>EXPORTS (metric tons)</t>
  </si>
  <si>
    <t>Diff from 2009</t>
  </si>
  <si>
    <t>SUMMARY OF SEA ANIMALS KILLED BY U.S. CONSUMPTION IN 2010</t>
  </si>
  <si>
    <t>NOAA Fisheries Office of Science and Technology, "Imports and Exports of Fishery Products Annual Summary, 2010", Current Fisheries Statistucs No. 2010-2, http://www.st.nmfs.noaa.gov/st1/trade/documents/TRADE2010.pdf</t>
  </si>
  <si>
    <t>NOAA Fisheries Office of Science and Technology, "Fisheries of the United States 2009", http://www.st.nmfs.noaa.gov/st1/fus/fus09/index.html.</t>
  </si>
  <si>
    <t>NOAA Fisheries Office of Science and Technology, "Fisheries of the United States 2010", http://www.st.nmfs.noaa.gov/st1/fus/fus10/index.html.</t>
  </si>
  <si>
    <t>NOAA Fisheries Office of Science and Technology, "Fisheries of the United States 2008", http://www.st.nmfs.noaa.gov/st1/fus/fus08/index.html</t>
  </si>
  <si>
    <t>Fisheries of the US 2011</t>
  </si>
  <si>
    <t>SUMMARY OF SEA ANIMALS KILLED BY U.S. CONSUMPTION IN 2011</t>
  </si>
  <si>
    <t>Diff from 2010</t>
  </si>
  <si>
    <t>-All figures from Fisheries of the United States 2011 (and preceding years)</t>
  </si>
  <si>
    <t>-The most recent available figures are for 2010, so there were used as estimates for 2011.</t>
  </si>
  <si>
    <t>2011</t>
  </si>
  <si>
    <t>NOAA Fisheries Office of Science and Technology, "Fisheries of the United States 2011", http://www.st.nmfs.noaa.gov/st1/fus/fus11/FUS_2011.pdf.</t>
  </si>
  <si>
    <t>NOAA Fisheries Office of Science and Technology, "Imports and Exports of Fishery Products Annual Summary, 2011", Current Fisheries Statistucs No. 2011-2, http://www.st.nmfs.noaa.gov/st1/trade/documents/TRADE2011.pdf</t>
  </si>
  <si>
    <t>[Sources: 102 (2011, 2010), 98 (2009), 77 (2008), 71 (2007), 66 (2006)]</t>
  </si>
  <si>
    <t>other: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</si>
</sst>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0"/>
    <numFmt numFmtId="166" formatCode="0.000"/>
    <numFmt numFmtId="167" formatCode="#,##0.000"/>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409]dddd\,\ mmmm\ dd\,\ yyyy"/>
    <numFmt numFmtId="175" formatCode="[$-409]h:mm:ss\ AM/PM"/>
    <numFmt numFmtId="176" formatCode="0.00000"/>
    <numFmt numFmtId="177" formatCode="#,##0.0"/>
  </numFmts>
  <fonts count="71">
    <font>
      <sz val="10"/>
      <name val="Arial"/>
      <family val="0"/>
    </font>
    <font>
      <sz val="10"/>
      <name val="Times New Roman"/>
      <family val="1"/>
    </font>
    <font>
      <b/>
      <sz val="10"/>
      <name val="Times New Roman"/>
      <family val="1"/>
    </font>
    <font>
      <b/>
      <i/>
      <sz val="10"/>
      <name val="Times New Roman"/>
      <family val="1"/>
    </font>
    <font>
      <sz val="8"/>
      <name val="Times New Roman"/>
      <family val="1"/>
    </font>
    <font>
      <sz val="9"/>
      <name val="Times New Roman"/>
      <family val="1"/>
    </font>
    <font>
      <b/>
      <sz val="9"/>
      <name val="Times New Roman"/>
      <family val="1"/>
    </font>
    <font>
      <sz val="9"/>
      <name val="Arial"/>
      <family val="2"/>
    </font>
    <font>
      <b/>
      <i/>
      <sz val="9"/>
      <name val="Times New Roman"/>
      <family val="1"/>
    </font>
    <font>
      <b/>
      <i/>
      <sz val="8"/>
      <name val="Times New Roman"/>
      <family val="1"/>
    </font>
    <font>
      <i/>
      <sz val="9"/>
      <name val="Times New Roman"/>
      <family val="1"/>
    </font>
    <font>
      <sz val="7"/>
      <name val="Times New Roman"/>
      <family val="1"/>
    </font>
    <font>
      <i/>
      <sz val="10"/>
      <name val="Times New Roman"/>
      <family val="1"/>
    </font>
    <font>
      <u val="single"/>
      <sz val="10"/>
      <name val="Times New Roman"/>
      <family val="1"/>
    </font>
    <font>
      <i/>
      <sz val="9"/>
      <name val="Arial"/>
      <family val="2"/>
    </font>
    <font>
      <i/>
      <sz val="8"/>
      <name val="Times New Roman"/>
      <family val="1"/>
    </font>
    <font>
      <u val="single"/>
      <sz val="10"/>
      <color indexed="12"/>
      <name val="Arial"/>
      <family val="2"/>
    </font>
    <font>
      <u val="single"/>
      <sz val="10"/>
      <color indexed="36"/>
      <name val="Arial"/>
      <family val="2"/>
    </font>
    <font>
      <i/>
      <sz val="10"/>
      <name val="Arial"/>
      <family val="2"/>
    </font>
    <font>
      <b/>
      <sz val="10"/>
      <name val="Arial"/>
      <family val="2"/>
    </font>
    <font>
      <sz val="8"/>
      <name val="Arial"/>
      <family val="2"/>
    </font>
    <font>
      <b/>
      <sz val="12"/>
      <name val="Times New Roman"/>
      <family val="1"/>
    </font>
    <font>
      <b/>
      <i/>
      <u val="single"/>
      <sz val="10"/>
      <name val="Times New Roman"/>
      <family val="1"/>
    </font>
    <font>
      <sz val="8.5"/>
      <name val="Courier New"/>
      <family val="3"/>
    </font>
    <font>
      <sz val="12"/>
      <name val="Times New Roman"/>
      <family val="1"/>
    </font>
    <font>
      <sz val="8.5"/>
      <name val="ArialMT"/>
      <family val="0"/>
    </font>
    <font>
      <b/>
      <sz val="8.5"/>
      <name val="Arial-BoldMT"/>
      <family val="0"/>
    </font>
    <font>
      <b/>
      <sz val="9.5"/>
      <name val="Arial-BoldMT"/>
      <family val="0"/>
    </font>
    <font>
      <sz val="8"/>
      <name val="Courier New"/>
      <family val="3"/>
    </font>
    <font>
      <b/>
      <i/>
      <sz val="8.5"/>
      <name val="Courier New"/>
      <family val="3"/>
    </font>
    <font>
      <i/>
      <sz val="8.5"/>
      <name val="Courier New"/>
      <family val="3"/>
    </font>
    <font>
      <b/>
      <sz val="8.5"/>
      <name val="Courier New"/>
      <family val="3"/>
    </font>
    <font>
      <sz val="8.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5"/>
      <name val="Times New Roman"/>
      <family val="1"/>
    </font>
    <font>
      <b/>
      <sz val="9.5"/>
      <name val="Times New Roman"/>
      <family val="1"/>
    </font>
    <font>
      <sz val="10"/>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style="thin"/>
      <right style="thin"/>
      <top style="thin"/>
      <bottom style="double"/>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style="double"/>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color indexed="63"/>
      </right>
      <top style="medium"/>
      <bottom>
        <color indexed="63"/>
      </bottom>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medium"/>
      <top>
        <color indexed="63"/>
      </top>
      <bottom style="thin"/>
    </border>
    <border>
      <left style="medium"/>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thin"/>
      <bottom style="thin"/>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medium"/>
    </border>
    <border>
      <left style="thin"/>
      <right style="thin"/>
      <top style="medium"/>
      <bottom>
        <color indexed="63"/>
      </bottom>
    </border>
    <border>
      <left style="thin"/>
      <right style="medium"/>
      <top>
        <color indexed="63"/>
      </top>
      <bottom>
        <color indexed="63"/>
      </bottom>
    </border>
    <border>
      <left style="thin"/>
      <right style="thin"/>
      <top style="medium"/>
      <bottom style="medium"/>
    </border>
    <border>
      <left style="thin"/>
      <right style="medium"/>
      <top style="medium"/>
      <bottom style="medium"/>
    </border>
    <border>
      <left style="thin"/>
      <right style="thin"/>
      <top style="double"/>
      <bottom style="medium"/>
    </border>
    <border>
      <left style="medium"/>
      <right style="thin"/>
      <top style="double"/>
      <bottom style="medium"/>
    </border>
    <border>
      <left style="thin"/>
      <right style="medium"/>
      <top style="double"/>
      <bottom style="mediu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thick"/>
      <right style="thin"/>
      <top style="thick"/>
      <bottom style="thick"/>
    </border>
    <border>
      <left style="thin"/>
      <right>
        <color indexed="63"/>
      </right>
      <top style="double"/>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style="double"/>
      <bottom>
        <color indexed="63"/>
      </bottom>
    </border>
    <border>
      <left style="medium"/>
      <right>
        <color indexed="63"/>
      </right>
      <top style="thin"/>
      <bottom style="double"/>
    </border>
    <border>
      <left>
        <color indexed="63"/>
      </left>
      <right style="thin"/>
      <top style="medium"/>
      <bottom style="medium"/>
    </border>
    <border>
      <left>
        <color indexed="63"/>
      </left>
      <right style="thin"/>
      <top>
        <color indexed="63"/>
      </top>
      <bottom style="medium"/>
    </border>
    <border>
      <left style="thin"/>
      <right style="thin"/>
      <top>
        <color indexed="63"/>
      </top>
      <bottom style="thin"/>
    </border>
    <border>
      <left style="thin"/>
      <right>
        <color indexed="63"/>
      </right>
      <top style="medium"/>
      <bottom>
        <color indexed="63"/>
      </bottom>
    </border>
    <border>
      <left style="thin"/>
      <right>
        <color indexed="63"/>
      </right>
      <top style="thin"/>
      <bottom style="medium"/>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color indexed="63"/>
      </left>
      <right style="thin"/>
      <top style="thin"/>
      <bottom style="medium"/>
    </border>
    <border>
      <left style="medium"/>
      <right style="thin"/>
      <top style="medium"/>
      <bottom style="medium"/>
    </border>
    <border>
      <left>
        <color indexed="63"/>
      </left>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ck"/>
      <bottom style="thick"/>
    </border>
    <border>
      <left style="medium"/>
      <right style="thin"/>
      <top style="thick"/>
      <bottom style="thick"/>
    </border>
    <border>
      <left style="thin"/>
      <right style="thick"/>
      <top style="thick"/>
      <bottom style="thick"/>
    </border>
    <border>
      <left style="thin"/>
      <right style="thin"/>
      <top style="thick"/>
      <bottom style="thick"/>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7"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6"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719">
    <xf numFmtId="0" fontId="0" fillId="0" borderId="0" xfId="0" applyAlignment="1">
      <alignment/>
    </xf>
    <xf numFmtId="0" fontId="1" fillId="0" borderId="0" xfId="0" applyFont="1" applyAlignment="1">
      <alignment/>
    </xf>
    <xf numFmtId="0" fontId="2" fillId="0" borderId="10" xfId="0" applyFont="1" applyBorder="1" applyAlignment="1">
      <alignment/>
    </xf>
    <xf numFmtId="3" fontId="1" fillId="0" borderId="0" xfId="0" applyNumberFormat="1" applyFont="1" applyAlignment="1">
      <alignment/>
    </xf>
    <xf numFmtId="0" fontId="1" fillId="0" borderId="0" xfId="0" applyNumberFormat="1" applyFont="1" applyAlignment="1">
      <alignment horizontal="right"/>
    </xf>
    <xf numFmtId="0" fontId="1" fillId="0" borderId="0" xfId="0" applyFont="1" applyAlignment="1">
      <alignment horizontal="right"/>
    </xf>
    <xf numFmtId="49" fontId="2" fillId="0" borderId="10" xfId="0" applyNumberFormat="1" applyFont="1" applyBorder="1" applyAlignment="1">
      <alignment horizontal="left"/>
    </xf>
    <xf numFmtId="49" fontId="1" fillId="0" borderId="10" xfId="0" applyNumberFormat="1" applyFont="1" applyBorder="1" applyAlignment="1">
      <alignment horizontal="left"/>
    </xf>
    <xf numFmtId="0" fontId="1" fillId="0" borderId="10" xfId="0" applyFont="1" applyBorder="1" applyAlignment="1">
      <alignment horizontal="left"/>
    </xf>
    <xf numFmtId="49" fontId="1" fillId="0" borderId="0" xfId="0" applyNumberFormat="1" applyFont="1" applyAlignment="1">
      <alignment horizontal="left"/>
    </xf>
    <xf numFmtId="0" fontId="1" fillId="0" borderId="0" xfId="0" applyFont="1" applyAlignment="1">
      <alignment horizontal="left"/>
    </xf>
    <xf numFmtId="0" fontId="1" fillId="0" borderId="0" xfId="0" applyFont="1" applyAlignment="1">
      <alignment horizontal="center"/>
    </xf>
    <xf numFmtId="0" fontId="3" fillId="0" borderId="11" xfId="0" applyFont="1" applyBorder="1" applyAlignment="1">
      <alignment horizontal="center"/>
    </xf>
    <xf numFmtId="3" fontId="3" fillId="0" borderId="11" xfId="0" applyNumberFormat="1" applyFont="1" applyBorder="1" applyAlignment="1">
      <alignment horizontal="center"/>
    </xf>
    <xf numFmtId="0" fontId="3" fillId="0" borderId="0" xfId="0" applyFont="1" applyBorder="1" applyAlignment="1">
      <alignment horizontal="center"/>
    </xf>
    <xf numFmtId="49" fontId="1" fillId="0" borderId="0" xfId="0" applyNumberFormat="1" applyFont="1" applyBorder="1" applyAlignment="1">
      <alignment horizontal="left"/>
    </xf>
    <xf numFmtId="0" fontId="1" fillId="0" borderId="0" xfId="0" applyFont="1" applyBorder="1" applyAlignment="1">
      <alignment horizontal="left"/>
    </xf>
    <xf numFmtId="0" fontId="3" fillId="0" borderId="0" xfId="0" applyFont="1" applyAlignment="1">
      <alignment horizontal="center"/>
    </xf>
    <xf numFmtId="0" fontId="1" fillId="0" borderId="12" xfId="0" applyFont="1" applyBorder="1" applyAlignment="1">
      <alignment/>
    </xf>
    <xf numFmtId="3" fontId="1" fillId="0" borderId="12" xfId="0" applyNumberFormat="1" applyFont="1" applyBorder="1" applyAlignment="1">
      <alignment/>
    </xf>
    <xf numFmtId="0" fontId="1" fillId="0" borderId="12" xfId="0" applyNumberFormat="1" applyFont="1" applyBorder="1" applyAlignment="1">
      <alignment horizontal="right"/>
    </xf>
    <xf numFmtId="0" fontId="4" fillId="0" borderId="12" xfId="0" applyFont="1" applyBorder="1" applyAlignment="1">
      <alignment horizontal="right"/>
    </xf>
    <xf numFmtId="0" fontId="1" fillId="0" borderId="12" xfId="0" applyFont="1" applyBorder="1" applyAlignment="1">
      <alignment horizontal="right"/>
    </xf>
    <xf numFmtId="3" fontId="1" fillId="0" borderId="13" xfId="0" applyNumberFormat="1" applyFont="1" applyBorder="1" applyAlignment="1">
      <alignment/>
    </xf>
    <xf numFmtId="0" fontId="3" fillId="0" borderId="0" xfId="0" applyFont="1" applyAlignment="1">
      <alignment/>
    </xf>
    <xf numFmtId="0" fontId="4" fillId="0" borderId="12" xfId="0" applyNumberFormat="1" applyFont="1" applyBorder="1" applyAlignment="1">
      <alignment horizontal="right"/>
    </xf>
    <xf numFmtId="0" fontId="4" fillId="0" borderId="0" xfId="0" applyNumberFormat="1" applyFont="1" applyAlignment="1">
      <alignment horizontal="right"/>
    </xf>
    <xf numFmtId="166" fontId="1" fillId="0" borderId="0" xfId="0" applyNumberFormat="1" applyFont="1" applyAlignment="1">
      <alignment horizontal="right"/>
    </xf>
    <xf numFmtId="166" fontId="3" fillId="0" borderId="11" xfId="0" applyNumberFormat="1" applyFont="1" applyBorder="1" applyAlignment="1">
      <alignment horizontal="center"/>
    </xf>
    <xf numFmtId="166" fontId="1" fillId="0" borderId="12" xfId="0" applyNumberFormat="1" applyFont="1" applyBorder="1" applyAlignment="1">
      <alignment horizontal="right"/>
    </xf>
    <xf numFmtId="166" fontId="1" fillId="0" borderId="13" xfId="0" applyNumberFormat="1" applyFont="1" applyBorder="1" applyAlignment="1">
      <alignment horizontal="right"/>
    </xf>
    <xf numFmtId="166" fontId="1" fillId="0" borderId="14" xfId="0" applyNumberFormat="1" applyFont="1" applyBorder="1" applyAlignment="1">
      <alignment horizontal="right"/>
    </xf>
    <xf numFmtId="166" fontId="3" fillId="0" borderId="0" xfId="0" applyNumberFormat="1" applyFont="1" applyAlignment="1">
      <alignment horizontal="right"/>
    </xf>
    <xf numFmtId="166" fontId="1" fillId="0" borderId="0" xfId="0" applyNumberFormat="1" applyFont="1" applyAlignment="1">
      <alignment/>
    </xf>
    <xf numFmtId="3" fontId="1" fillId="0" borderId="0" xfId="0" applyNumberFormat="1" applyFont="1" applyAlignment="1">
      <alignment horizontal="right"/>
    </xf>
    <xf numFmtId="3" fontId="3" fillId="0" borderId="0" xfId="0" applyNumberFormat="1" applyFont="1" applyBorder="1" applyAlignment="1">
      <alignment horizontal="center"/>
    </xf>
    <xf numFmtId="3" fontId="1" fillId="0" borderId="12" xfId="0" applyNumberFormat="1" applyFont="1" applyBorder="1" applyAlignment="1">
      <alignment horizontal="right"/>
    </xf>
    <xf numFmtId="166" fontId="3" fillId="0" borderId="0" xfId="0" applyNumberFormat="1" applyFont="1" applyBorder="1" applyAlignment="1">
      <alignment horizontal="center"/>
    </xf>
    <xf numFmtId="0" fontId="1" fillId="0" borderId="0" xfId="0" applyFont="1" applyBorder="1" applyAlignment="1">
      <alignment/>
    </xf>
    <xf numFmtId="3" fontId="1" fillId="0" borderId="0" xfId="0" applyNumberFormat="1" applyFont="1" applyBorder="1" applyAlignment="1">
      <alignment/>
    </xf>
    <xf numFmtId="166" fontId="1" fillId="0" borderId="0" xfId="0" applyNumberFormat="1" applyFont="1" applyBorder="1" applyAlignment="1">
      <alignment horizontal="right"/>
    </xf>
    <xf numFmtId="3" fontId="1" fillId="0" borderId="0" xfId="0" applyNumberFormat="1" applyFont="1" applyBorder="1" applyAlignment="1">
      <alignment horizontal="right"/>
    </xf>
    <xf numFmtId="0" fontId="4" fillId="0" borderId="0" xfId="0" applyNumberFormat="1" applyFont="1" applyBorder="1" applyAlignment="1">
      <alignment horizontal="right"/>
    </xf>
    <xf numFmtId="166" fontId="3" fillId="0" borderId="0" xfId="0" applyNumberFormat="1" applyFont="1" applyBorder="1" applyAlignment="1">
      <alignment horizontal="right"/>
    </xf>
    <xf numFmtId="3" fontId="1" fillId="0" borderId="10" xfId="0" applyNumberFormat="1" applyFont="1" applyBorder="1" applyAlignment="1">
      <alignment/>
    </xf>
    <xf numFmtId="0" fontId="5" fillId="0" borderId="0" xfId="0" applyFont="1" applyAlignment="1">
      <alignment/>
    </xf>
    <xf numFmtId="0" fontId="6" fillId="0" borderId="10" xfId="0" applyFont="1" applyBorder="1" applyAlignment="1">
      <alignment/>
    </xf>
    <xf numFmtId="166" fontId="5" fillId="0" borderId="0" xfId="0" applyNumberFormat="1" applyFont="1" applyAlignment="1">
      <alignment horizontal="right"/>
    </xf>
    <xf numFmtId="0" fontId="5" fillId="0" borderId="0" xfId="0" applyFont="1" applyAlignment="1">
      <alignment horizontal="right"/>
    </xf>
    <xf numFmtId="0" fontId="7" fillId="0" borderId="0" xfId="0" applyFont="1" applyAlignment="1">
      <alignment/>
    </xf>
    <xf numFmtId="0" fontId="5" fillId="0" borderId="0" xfId="0" applyFont="1" applyAlignment="1">
      <alignment horizontal="center"/>
    </xf>
    <xf numFmtId="0" fontId="8" fillId="0" borderId="0" xfId="0" applyFont="1" applyBorder="1" applyAlignment="1">
      <alignment horizontal="center"/>
    </xf>
    <xf numFmtId="0" fontId="8" fillId="0" borderId="0" xfId="0" applyFont="1" applyAlignment="1">
      <alignment horizontal="center"/>
    </xf>
    <xf numFmtId="166" fontId="5" fillId="0" borderId="12" xfId="0" applyNumberFormat="1" applyFont="1" applyBorder="1" applyAlignment="1">
      <alignment horizontal="right"/>
    </xf>
    <xf numFmtId="0" fontId="5" fillId="0" borderId="12" xfId="0" applyFont="1" applyBorder="1" applyAlignment="1">
      <alignment horizontal="right"/>
    </xf>
    <xf numFmtId="0" fontId="8" fillId="0" borderId="0" xfId="0" applyFont="1" applyAlignment="1">
      <alignment/>
    </xf>
    <xf numFmtId="166" fontId="8" fillId="0" borderId="0" xfId="0" applyNumberFormat="1" applyFont="1" applyAlignment="1">
      <alignment horizontal="right"/>
    </xf>
    <xf numFmtId="0" fontId="5" fillId="0" borderId="0" xfId="0" applyNumberFormat="1" applyFont="1" applyAlignment="1">
      <alignment horizontal="right"/>
    </xf>
    <xf numFmtId="0" fontId="4" fillId="0" borderId="0" xfId="0" applyFont="1" applyAlignment="1">
      <alignment horizontal="right"/>
    </xf>
    <xf numFmtId="0" fontId="9" fillId="0" borderId="0" xfId="0" applyFont="1" applyBorder="1" applyAlignment="1">
      <alignment horizontal="center"/>
    </xf>
    <xf numFmtId="0" fontId="6" fillId="0" borderId="0" xfId="0" applyFont="1" applyBorder="1" applyAlignment="1">
      <alignment/>
    </xf>
    <xf numFmtId="3" fontId="8"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xf>
    <xf numFmtId="3" fontId="5" fillId="0" borderId="12" xfId="0" applyNumberFormat="1" applyFont="1" applyBorder="1" applyAlignment="1">
      <alignment horizontal="right"/>
    </xf>
    <xf numFmtId="166" fontId="5" fillId="0" borderId="12" xfId="0" applyNumberFormat="1" applyFont="1" applyBorder="1" applyAlignment="1">
      <alignment/>
    </xf>
    <xf numFmtId="3" fontId="5" fillId="0" borderId="12" xfId="0" applyNumberFormat="1" applyFont="1" applyBorder="1" applyAlignment="1">
      <alignment/>
    </xf>
    <xf numFmtId="0" fontId="5" fillId="0" borderId="0" xfId="0" applyFont="1" applyBorder="1" applyAlignment="1">
      <alignment/>
    </xf>
    <xf numFmtId="0" fontId="6" fillId="0" borderId="0" xfId="0" applyFont="1" applyAlignment="1">
      <alignment horizontal="right"/>
    </xf>
    <xf numFmtId="166" fontId="5" fillId="0" borderId="10" xfId="0" applyNumberFormat="1" applyFont="1" applyBorder="1" applyAlignment="1">
      <alignment horizontal="right"/>
    </xf>
    <xf numFmtId="166" fontId="5" fillId="0" borderId="0" xfId="0" applyNumberFormat="1" applyFont="1" applyBorder="1" applyAlignment="1">
      <alignment horizontal="right"/>
    </xf>
    <xf numFmtId="0" fontId="5" fillId="0" borderId="0" xfId="0" applyFont="1" applyBorder="1" applyAlignment="1">
      <alignment horizontal="right"/>
    </xf>
    <xf numFmtId="166" fontId="8" fillId="0" borderId="0" xfId="0" applyNumberFormat="1" applyFont="1" applyBorder="1" applyAlignment="1">
      <alignment horizontal="center"/>
    </xf>
    <xf numFmtId="0" fontId="5" fillId="0" borderId="0" xfId="0" applyNumberFormat="1" applyFont="1" applyBorder="1" applyAlignment="1">
      <alignment horizontal="right"/>
    </xf>
    <xf numFmtId="0" fontId="6" fillId="0" borderId="10" xfId="0" applyFont="1" applyBorder="1" applyAlignment="1">
      <alignment horizontal="center"/>
    </xf>
    <xf numFmtId="166" fontId="8" fillId="0" borderId="0" xfId="0" applyNumberFormat="1" applyFont="1" applyBorder="1" applyAlignment="1">
      <alignment horizontal="right"/>
    </xf>
    <xf numFmtId="0" fontId="3" fillId="0" borderId="0" xfId="0" applyFont="1" applyBorder="1" applyAlignment="1">
      <alignment/>
    </xf>
    <xf numFmtId="3" fontId="1" fillId="0" borderId="15" xfId="0" applyNumberFormat="1" applyFont="1" applyBorder="1" applyAlignment="1">
      <alignment/>
    </xf>
    <xf numFmtId="3" fontId="1" fillId="0" borderId="16" xfId="0" applyNumberFormat="1" applyFont="1" applyBorder="1" applyAlignment="1">
      <alignment/>
    </xf>
    <xf numFmtId="3" fontId="1" fillId="0" borderId="17" xfId="0" applyNumberFormat="1" applyFont="1" applyBorder="1" applyAlignment="1">
      <alignment horizontal="right"/>
    </xf>
    <xf numFmtId="3" fontId="1" fillId="0" borderId="18" xfId="0" applyNumberFormat="1" applyFont="1" applyBorder="1" applyAlignment="1">
      <alignment/>
    </xf>
    <xf numFmtId="3" fontId="1" fillId="0" borderId="19" xfId="0" applyNumberFormat="1" applyFont="1" applyBorder="1" applyAlignment="1">
      <alignment horizontal="right"/>
    </xf>
    <xf numFmtId="3" fontId="1" fillId="0" borderId="20" xfId="0" applyNumberFormat="1" applyFont="1" applyBorder="1" applyAlignment="1">
      <alignment/>
    </xf>
    <xf numFmtId="3" fontId="1" fillId="0" borderId="21" xfId="0" applyNumberFormat="1" applyFont="1" applyBorder="1" applyAlignment="1">
      <alignment horizontal="right"/>
    </xf>
    <xf numFmtId="3" fontId="1" fillId="0" borderId="22" xfId="0" applyNumberFormat="1" applyFont="1" applyBorder="1" applyAlignment="1">
      <alignment/>
    </xf>
    <xf numFmtId="3" fontId="1" fillId="0" borderId="23" xfId="0" applyNumberFormat="1" applyFont="1" applyBorder="1" applyAlignment="1">
      <alignment/>
    </xf>
    <xf numFmtId="0" fontId="1" fillId="0" borderId="15" xfId="0" applyFont="1" applyBorder="1" applyAlignment="1">
      <alignment/>
    </xf>
    <xf numFmtId="166" fontId="1" fillId="0" borderId="17" xfId="0" applyNumberFormat="1" applyFont="1" applyBorder="1" applyAlignment="1">
      <alignment horizontal="right"/>
    </xf>
    <xf numFmtId="0" fontId="1" fillId="0" borderId="18" xfId="0" applyFont="1" applyBorder="1" applyAlignment="1">
      <alignment/>
    </xf>
    <xf numFmtId="166" fontId="1" fillId="0" borderId="19" xfId="0" applyNumberFormat="1" applyFont="1" applyBorder="1" applyAlignment="1">
      <alignment horizontal="right"/>
    </xf>
    <xf numFmtId="0" fontId="1" fillId="0" borderId="20" xfId="0" applyFont="1" applyBorder="1" applyAlignment="1">
      <alignment/>
    </xf>
    <xf numFmtId="166" fontId="1" fillId="0" borderId="21" xfId="0" applyNumberFormat="1" applyFont="1" applyBorder="1" applyAlignment="1">
      <alignment horizontal="right"/>
    </xf>
    <xf numFmtId="0" fontId="3" fillId="0" borderId="22" xfId="0" applyFont="1" applyBorder="1" applyAlignment="1">
      <alignment/>
    </xf>
    <xf numFmtId="3" fontId="12" fillId="0" borderId="24" xfId="0" applyNumberFormat="1" applyFont="1" applyBorder="1" applyAlignment="1">
      <alignment/>
    </xf>
    <xf numFmtId="0" fontId="1" fillId="0" borderId="25" xfId="0" applyFont="1" applyBorder="1" applyAlignment="1">
      <alignment/>
    </xf>
    <xf numFmtId="3" fontId="1" fillId="0" borderId="25" xfId="0" applyNumberFormat="1" applyFont="1" applyBorder="1" applyAlignment="1">
      <alignment/>
    </xf>
    <xf numFmtId="166" fontId="1" fillId="0" borderId="25" xfId="0" applyNumberFormat="1" applyFont="1" applyBorder="1" applyAlignment="1">
      <alignment horizontal="right"/>
    </xf>
    <xf numFmtId="3" fontId="1" fillId="0" borderId="25" xfId="0" applyNumberFormat="1" applyFont="1" applyBorder="1" applyAlignment="1">
      <alignment horizontal="right"/>
    </xf>
    <xf numFmtId="0" fontId="5" fillId="0" borderId="15" xfId="0" applyFont="1" applyBorder="1" applyAlignment="1">
      <alignment/>
    </xf>
    <xf numFmtId="166" fontId="5" fillId="0" borderId="16" xfId="0" applyNumberFormat="1" applyFont="1" applyBorder="1" applyAlignment="1">
      <alignment horizontal="right"/>
    </xf>
    <xf numFmtId="0" fontId="4" fillId="0" borderId="16" xfId="0" applyFont="1" applyBorder="1" applyAlignment="1">
      <alignment horizontal="right"/>
    </xf>
    <xf numFmtId="0" fontId="5" fillId="0" borderId="17" xfId="0" applyFont="1" applyBorder="1" applyAlignment="1">
      <alignment horizontal="right"/>
    </xf>
    <xf numFmtId="0" fontId="5" fillId="0" borderId="18" xfId="0" applyFont="1" applyBorder="1" applyAlignment="1">
      <alignment/>
    </xf>
    <xf numFmtId="0" fontId="5" fillId="0" borderId="19" xfId="0" applyFont="1" applyBorder="1" applyAlignment="1">
      <alignment horizontal="right"/>
    </xf>
    <xf numFmtId="0" fontId="5" fillId="0" borderId="26" xfId="0" applyFont="1" applyBorder="1" applyAlignment="1">
      <alignment/>
    </xf>
    <xf numFmtId="166" fontId="5" fillId="0" borderId="27" xfId="0" applyNumberFormat="1" applyFont="1" applyBorder="1" applyAlignment="1">
      <alignment horizontal="right"/>
    </xf>
    <xf numFmtId="0" fontId="4" fillId="0" borderId="27" xfId="0" applyFont="1" applyBorder="1" applyAlignment="1">
      <alignment horizontal="right"/>
    </xf>
    <xf numFmtId="0" fontId="5" fillId="0" borderId="28" xfId="0" applyFont="1" applyBorder="1" applyAlignment="1">
      <alignment horizontal="right"/>
    </xf>
    <xf numFmtId="0" fontId="4" fillId="0" borderId="16" xfId="0" applyNumberFormat="1" applyFont="1" applyBorder="1" applyAlignment="1">
      <alignment horizontal="right"/>
    </xf>
    <xf numFmtId="0" fontId="5" fillId="0" borderId="17" xfId="0" applyNumberFormat="1" applyFont="1" applyBorder="1" applyAlignment="1">
      <alignment horizontal="right"/>
    </xf>
    <xf numFmtId="0" fontId="5" fillId="0" borderId="19" xfId="0" applyNumberFormat="1" applyFont="1" applyBorder="1" applyAlignment="1">
      <alignment horizontal="right"/>
    </xf>
    <xf numFmtId="0" fontId="4" fillId="0" borderId="27" xfId="0" applyNumberFormat="1" applyFont="1" applyBorder="1" applyAlignment="1">
      <alignment horizontal="right"/>
    </xf>
    <xf numFmtId="0" fontId="5" fillId="0" borderId="28" xfId="0" applyNumberFormat="1" applyFont="1" applyBorder="1" applyAlignment="1">
      <alignment horizontal="right"/>
    </xf>
    <xf numFmtId="0" fontId="11" fillId="0" borderId="19" xfId="0" applyFont="1" applyBorder="1" applyAlignment="1">
      <alignment horizontal="right"/>
    </xf>
    <xf numFmtId="0" fontId="1" fillId="0" borderId="10" xfId="0" applyFont="1" applyBorder="1" applyAlignment="1">
      <alignment/>
    </xf>
    <xf numFmtId="9" fontId="1" fillId="0" borderId="0" xfId="0" applyNumberFormat="1" applyFont="1" applyAlignment="1">
      <alignment/>
    </xf>
    <xf numFmtId="9" fontId="3" fillId="0" borderId="0" xfId="0" applyNumberFormat="1" applyFont="1" applyAlignment="1">
      <alignment horizontal="center"/>
    </xf>
    <xf numFmtId="9" fontId="1" fillId="0" borderId="0" xfId="0" applyNumberFormat="1" applyFont="1" applyAlignment="1">
      <alignment horizontal="center"/>
    </xf>
    <xf numFmtId="3" fontId="1" fillId="0" borderId="0" xfId="0" applyNumberFormat="1" applyFont="1" applyAlignment="1">
      <alignment horizontal="center"/>
    </xf>
    <xf numFmtId="0" fontId="3" fillId="0" borderId="0" xfId="0" applyFont="1" applyAlignment="1">
      <alignment horizontal="right"/>
    </xf>
    <xf numFmtId="4" fontId="1" fillId="0" borderId="0" xfId="0" applyNumberFormat="1" applyFont="1" applyAlignment="1">
      <alignment horizontal="left"/>
    </xf>
    <xf numFmtId="0" fontId="1" fillId="0" borderId="26" xfId="0" applyFont="1" applyBorder="1" applyAlignment="1">
      <alignment/>
    </xf>
    <xf numFmtId="3" fontId="1" fillId="0" borderId="12" xfId="0" applyNumberFormat="1" applyFont="1" applyBorder="1" applyAlignment="1">
      <alignment horizontal="center"/>
    </xf>
    <xf numFmtId="3" fontId="1" fillId="0" borderId="13" xfId="0" applyNumberFormat="1" applyFont="1" applyBorder="1" applyAlignment="1">
      <alignment horizontal="center"/>
    </xf>
    <xf numFmtId="3" fontId="2" fillId="0" borderId="22" xfId="0" applyNumberFormat="1" applyFont="1" applyBorder="1" applyAlignment="1">
      <alignment/>
    </xf>
    <xf numFmtId="3" fontId="3" fillId="0" borderId="22" xfId="0" applyNumberFormat="1" applyFont="1" applyBorder="1" applyAlignment="1">
      <alignment/>
    </xf>
    <xf numFmtId="166" fontId="2" fillId="0" borderId="24" xfId="0" applyNumberFormat="1" applyFont="1" applyBorder="1" applyAlignment="1">
      <alignment horizontal="right"/>
    </xf>
    <xf numFmtId="3" fontId="3" fillId="0" borderId="29" xfId="0" applyNumberFormat="1" applyFont="1" applyBorder="1" applyAlignment="1">
      <alignment/>
    </xf>
    <xf numFmtId="3" fontId="2" fillId="0" borderId="23" xfId="0" applyNumberFormat="1" applyFont="1" applyBorder="1" applyAlignment="1">
      <alignment/>
    </xf>
    <xf numFmtId="166" fontId="2" fillId="0" borderId="23" xfId="0" applyNumberFormat="1" applyFont="1" applyBorder="1" applyAlignment="1">
      <alignment horizontal="right"/>
    </xf>
    <xf numFmtId="3" fontId="3" fillId="0" borderId="23" xfId="0" applyNumberFormat="1" applyFont="1" applyBorder="1" applyAlignment="1">
      <alignment/>
    </xf>
    <xf numFmtId="3" fontId="3" fillId="0" borderId="24" xfId="0" applyNumberFormat="1" applyFont="1" applyBorder="1" applyAlignment="1">
      <alignment/>
    </xf>
    <xf numFmtId="166" fontId="10" fillId="0" borderId="0" xfId="0" applyNumberFormat="1" applyFont="1" applyAlignment="1">
      <alignment horizontal="right"/>
    </xf>
    <xf numFmtId="166" fontId="10" fillId="0" borderId="16" xfId="0" applyNumberFormat="1" applyFont="1" applyBorder="1" applyAlignment="1">
      <alignment horizontal="right"/>
    </xf>
    <xf numFmtId="166" fontId="10" fillId="0" borderId="12" xfId="0" applyNumberFormat="1" applyFont="1" applyBorder="1" applyAlignment="1">
      <alignment horizontal="right"/>
    </xf>
    <xf numFmtId="166" fontId="10" fillId="0" borderId="27" xfId="0" applyNumberFormat="1" applyFont="1" applyBorder="1" applyAlignment="1">
      <alignment horizontal="right"/>
    </xf>
    <xf numFmtId="166" fontId="10" fillId="0" borderId="0" xfId="0" applyNumberFormat="1" applyFont="1" applyBorder="1" applyAlignment="1">
      <alignment horizontal="right"/>
    </xf>
    <xf numFmtId="0" fontId="14" fillId="0" borderId="0" xfId="0" applyFont="1" applyAlignment="1">
      <alignment/>
    </xf>
    <xf numFmtId="3" fontId="12" fillId="0" borderId="0" xfId="0" applyNumberFormat="1" applyFont="1" applyBorder="1" applyAlignment="1">
      <alignment/>
    </xf>
    <xf numFmtId="3" fontId="1" fillId="0" borderId="27" xfId="0" applyNumberFormat="1" applyFont="1" applyBorder="1" applyAlignment="1">
      <alignment/>
    </xf>
    <xf numFmtId="166" fontId="1" fillId="0" borderId="28" xfId="0" applyNumberFormat="1" applyFont="1" applyBorder="1" applyAlignment="1">
      <alignment horizontal="right"/>
    </xf>
    <xf numFmtId="3" fontId="1" fillId="0" borderId="26" xfId="0" applyNumberFormat="1" applyFont="1" applyBorder="1" applyAlignment="1">
      <alignment/>
    </xf>
    <xf numFmtId="3" fontId="1" fillId="0" borderId="28" xfId="0" applyNumberFormat="1" applyFont="1" applyBorder="1" applyAlignment="1">
      <alignment horizontal="right"/>
    </xf>
    <xf numFmtId="0" fontId="10" fillId="0" borderId="12" xfId="0" applyNumberFormat="1" applyFont="1" applyBorder="1" applyAlignment="1">
      <alignment horizontal="right"/>
    </xf>
    <xf numFmtId="166" fontId="10" fillId="0" borderId="14" xfId="0" applyNumberFormat="1" applyFont="1" applyBorder="1" applyAlignment="1">
      <alignment horizontal="right"/>
    </xf>
    <xf numFmtId="3" fontId="12" fillId="0" borderId="0" xfId="0" applyNumberFormat="1" applyFont="1" applyBorder="1" applyAlignment="1">
      <alignment horizontal="right"/>
    </xf>
    <xf numFmtId="166" fontId="10" fillId="0" borderId="30" xfId="0" applyNumberFormat="1" applyFont="1" applyBorder="1" applyAlignment="1">
      <alignment/>
    </xf>
    <xf numFmtId="0" fontId="12" fillId="0" borderId="0" xfId="0" applyFont="1" applyBorder="1" applyAlignment="1">
      <alignment horizontal="right"/>
    </xf>
    <xf numFmtId="0" fontId="15" fillId="0" borderId="0" xfId="0" applyFont="1" applyBorder="1" applyAlignment="1">
      <alignment horizontal="right"/>
    </xf>
    <xf numFmtId="166" fontId="10" fillId="0" borderId="16" xfId="0" applyNumberFormat="1" applyFont="1" applyBorder="1" applyAlignment="1">
      <alignment/>
    </xf>
    <xf numFmtId="166" fontId="1" fillId="0" borderId="16" xfId="0" applyNumberFormat="1" applyFont="1" applyBorder="1" applyAlignment="1">
      <alignment horizontal="right"/>
    </xf>
    <xf numFmtId="0" fontId="1" fillId="33" borderId="0" xfId="0" applyFont="1" applyFill="1" applyAlignment="1">
      <alignment/>
    </xf>
    <xf numFmtId="0" fontId="1" fillId="34" borderId="18" xfId="0" applyFont="1" applyFill="1" applyBorder="1" applyAlignment="1">
      <alignment/>
    </xf>
    <xf numFmtId="3" fontId="1" fillId="34" borderId="12" xfId="0" applyNumberFormat="1" applyFont="1" applyFill="1" applyBorder="1" applyAlignment="1">
      <alignment/>
    </xf>
    <xf numFmtId="3" fontId="1" fillId="33" borderId="12" xfId="0" applyNumberFormat="1" applyFont="1" applyFill="1" applyBorder="1" applyAlignment="1">
      <alignment/>
    </xf>
    <xf numFmtId="3" fontId="1" fillId="0" borderId="15" xfId="0" applyNumberFormat="1" applyFont="1" applyBorder="1" applyAlignment="1">
      <alignment/>
    </xf>
    <xf numFmtId="3" fontId="1" fillId="0" borderId="16" xfId="0" applyNumberFormat="1" applyFont="1" applyBorder="1" applyAlignment="1">
      <alignment/>
    </xf>
    <xf numFmtId="3" fontId="1" fillId="0" borderId="17" xfId="0" applyNumberFormat="1" applyFont="1" applyBorder="1" applyAlignment="1">
      <alignment/>
    </xf>
    <xf numFmtId="10" fontId="1" fillId="0" borderId="31" xfId="0" applyNumberFormat="1" applyFont="1" applyBorder="1" applyAlignment="1">
      <alignment/>
    </xf>
    <xf numFmtId="3" fontId="1" fillId="0" borderId="18" xfId="0" applyNumberFormat="1" applyFont="1" applyBorder="1" applyAlignment="1">
      <alignment/>
    </xf>
    <xf numFmtId="3" fontId="1" fillId="0" borderId="19" xfId="0" applyNumberFormat="1" applyFont="1" applyBorder="1" applyAlignment="1">
      <alignment/>
    </xf>
    <xf numFmtId="3" fontId="1" fillId="0" borderId="20" xfId="0" applyNumberFormat="1" applyFont="1" applyBorder="1" applyAlignment="1">
      <alignment/>
    </xf>
    <xf numFmtId="3" fontId="1" fillId="0" borderId="21" xfId="0" applyNumberFormat="1" applyFont="1" applyBorder="1" applyAlignment="1">
      <alignment/>
    </xf>
    <xf numFmtId="10" fontId="1" fillId="0" borderId="0" xfId="0" applyNumberFormat="1" applyFont="1" applyBorder="1" applyAlignment="1">
      <alignment/>
    </xf>
    <xf numFmtId="0" fontId="0" fillId="0" borderId="0" xfId="0" applyFont="1" applyAlignment="1">
      <alignment/>
    </xf>
    <xf numFmtId="166" fontId="12" fillId="0" borderId="16" xfId="0" applyNumberFormat="1" applyFont="1" applyBorder="1" applyAlignment="1">
      <alignment horizontal="right"/>
    </xf>
    <xf numFmtId="166" fontId="12" fillId="0" borderId="30" xfId="0" applyNumberFormat="1" applyFont="1" applyBorder="1" applyAlignment="1">
      <alignment/>
    </xf>
    <xf numFmtId="166" fontId="12" fillId="0" borderId="16" xfId="0" applyNumberFormat="1" applyFont="1" applyBorder="1" applyAlignment="1">
      <alignment/>
    </xf>
    <xf numFmtId="0" fontId="1" fillId="0" borderId="17" xfId="0" applyFont="1" applyBorder="1" applyAlignment="1">
      <alignment horizontal="right"/>
    </xf>
    <xf numFmtId="0" fontId="0" fillId="0" borderId="0" xfId="0" applyFont="1" applyAlignment="1">
      <alignment/>
    </xf>
    <xf numFmtId="166" fontId="12" fillId="0" borderId="12" xfId="0" applyNumberFormat="1" applyFont="1" applyBorder="1" applyAlignment="1">
      <alignment horizontal="right"/>
    </xf>
    <xf numFmtId="0" fontId="1" fillId="0" borderId="19" xfId="0" applyFont="1" applyBorder="1" applyAlignment="1">
      <alignment horizontal="right"/>
    </xf>
    <xf numFmtId="166" fontId="12" fillId="0" borderId="14" xfId="0" applyNumberFormat="1" applyFont="1" applyBorder="1" applyAlignment="1">
      <alignment horizontal="right"/>
    </xf>
    <xf numFmtId="166" fontId="12" fillId="0" borderId="0" xfId="0" applyNumberFormat="1" applyFont="1" applyBorder="1" applyAlignment="1">
      <alignment horizontal="right"/>
    </xf>
    <xf numFmtId="0" fontId="1" fillId="0" borderId="19" xfId="0" applyNumberFormat="1" applyFont="1" applyBorder="1" applyAlignment="1">
      <alignment horizontal="right"/>
    </xf>
    <xf numFmtId="166" fontId="12" fillId="0" borderId="27" xfId="0" applyNumberFormat="1" applyFont="1" applyBorder="1" applyAlignment="1">
      <alignment horizontal="right"/>
    </xf>
    <xf numFmtId="166" fontId="1" fillId="0" borderId="27" xfId="0" applyNumberFormat="1" applyFont="1" applyBorder="1" applyAlignment="1">
      <alignment horizontal="right"/>
    </xf>
    <xf numFmtId="0" fontId="1" fillId="0" borderId="28" xfId="0" applyNumberFormat="1" applyFont="1" applyBorder="1" applyAlignment="1">
      <alignment horizontal="right"/>
    </xf>
    <xf numFmtId="0" fontId="1" fillId="0" borderId="0" xfId="0" applyNumberFormat="1" applyFont="1" applyBorder="1" applyAlignment="1">
      <alignment horizontal="right"/>
    </xf>
    <xf numFmtId="0" fontId="1" fillId="0" borderId="17" xfId="0" applyNumberFormat="1" applyFont="1" applyBorder="1" applyAlignment="1">
      <alignment horizontal="right"/>
    </xf>
    <xf numFmtId="0" fontId="1" fillId="0" borderId="28" xfId="0" applyFont="1" applyBorder="1" applyAlignment="1">
      <alignment horizontal="right"/>
    </xf>
    <xf numFmtId="166" fontId="12" fillId="0" borderId="0" xfId="0" applyNumberFormat="1" applyFont="1" applyAlignment="1">
      <alignment horizontal="right"/>
    </xf>
    <xf numFmtId="0" fontId="18" fillId="0" borderId="0" xfId="0" applyFont="1" applyAlignment="1">
      <alignment/>
    </xf>
    <xf numFmtId="0" fontId="1" fillId="0" borderId="0" xfId="0" applyFont="1" applyBorder="1" applyAlignment="1">
      <alignment horizontal="right"/>
    </xf>
    <xf numFmtId="0" fontId="0" fillId="33" borderId="0" xfId="0" applyFont="1" applyFill="1" applyBorder="1" applyAlignment="1">
      <alignment horizontal="left"/>
    </xf>
    <xf numFmtId="0" fontId="0" fillId="0" borderId="0" xfId="0" applyFont="1" applyBorder="1" applyAlignment="1">
      <alignment/>
    </xf>
    <xf numFmtId="0" fontId="0" fillId="0" borderId="0" xfId="0" applyFont="1" applyBorder="1" applyAlignment="1">
      <alignment horizontal="center"/>
    </xf>
    <xf numFmtId="49" fontId="0" fillId="0" borderId="0" xfId="0" applyNumberFormat="1" applyFont="1" applyBorder="1" applyAlignment="1">
      <alignment horizontal="left"/>
    </xf>
    <xf numFmtId="49" fontId="18" fillId="0" borderId="0" xfId="0" applyNumberFormat="1" applyFont="1" applyBorder="1" applyAlignment="1">
      <alignment horizontal="left"/>
    </xf>
    <xf numFmtId="0" fontId="0" fillId="0" borderId="0" xfId="0" applyFont="1" applyBorder="1" applyAlignment="1">
      <alignment/>
    </xf>
    <xf numFmtId="0" fontId="0" fillId="0" borderId="0" xfId="0" applyFont="1" applyBorder="1" applyAlignment="1">
      <alignment horizontal="center"/>
    </xf>
    <xf numFmtId="49" fontId="0" fillId="0" borderId="0" xfId="0" applyNumberFormat="1" applyFont="1" applyBorder="1" applyAlignment="1">
      <alignment horizontal="left"/>
    </xf>
    <xf numFmtId="0" fontId="18" fillId="0" borderId="0" xfId="0" applyFont="1" applyBorder="1" applyAlignment="1">
      <alignment/>
    </xf>
    <xf numFmtId="3" fontId="19" fillId="0" borderId="0" xfId="0" applyNumberFormat="1" applyFont="1" applyBorder="1" applyAlignment="1">
      <alignment horizontal="left"/>
    </xf>
    <xf numFmtId="3" fontId="0" fillId="0" borderId="0" xfId="0" applyNumberFormat="1" applyFont="1" applyBorder="1" applyAlignment="1">
      <alignment horizontal="right"/>
    </xf>
    <xf numFmtId="0" fontId="0" fillId="0" borderId="0" xfId="0"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horizontal="center"/>
    </xf>
    <xf numFmtId="0" fontId="0" fillId="0" borderId="0" xfId="0" applyFont="1" applyBorder="1" applyAlignment="1">
      <alignment horizontal="right"/>
    </xf>
    <xf numFmtId="166" fontId="0" fillId="0" borderId="0" xfId="0" applyNumberFormat="1" applyFont="1" applyBorder="1" applyAlignment="1">
      <alignment horizontal="right"/>
    </xf>
    <xf numFmtId="166" fontId="0" fillId="0" borderId="0" xfId="0" applyNumberFormat="1" applyFont="1" applyBorder="1" applyAlignment="1">
      <alignment/>
    </xf>
    <xf numFmtId="0" fontId="21" fillId="33" borderId="0" xfId="0" applyFont="1" applyFill="1" applyAlignment="1">
      <alignment/>
    </xf>
    <xf numFmtId="3" fontId="1" fillId="0" borderId="0" xfId="0" applyNumberFormat="1" applyFont="1" applyAlignment="1">
      <alignment horizontal="left"/>
    </xf>
    <xf numFmtId="2" fontId="1" fillId="0" borderId="0" xfId="0" applyNumberFormat="1" applyFont="1" applyAlignment="1">
      <alignment horizontal="left"/>
    </xf>
    <xf numFmtId="0" fontId="1" fillId="0" borderId="18" xfId="0" applyFont="1" applyBorder="1" applyAlignment="1">
      <alignment horizontal="left"/>
    </xf>
    <xf numFmtId="3" fontId="1" fillId="0" borderId="0" xfId="0" applyNumberFormat="1" applyFont="1" applyBorder="1" applyAlignment="1">
      <alignment/>
    </xf>
    <xf numFmtId="3" fontId="1" fillId="0" borderId="0" xfId="0" applyNumberFormat="1" applyFont="1" applyFill="1" applyBorder="1" applyAlignment="1">
      <alignment/>
    </xf>
    <xf numFmtId="0" fontId="1" fillId="0" borderId="32" xfId="0" applyFont="1" applyBorder="1" applyAlignment="1">
      <alignment/>
    </xf>
    <xf numFmtId="166" fontId="1" fillId="0" borderId="33" xfId="0" applyNumberFormat="1" applyFont="1" applyBorder="1" applyAlignment="1">
      <alignment horizontal="right"/>
    </xf>
    <xf numFmtId="0" fontId="1" fillId="0" borderId="34" xfId="0" applyFont="1" applyFill="1" applyBorder="1" applyAlignment="1">
      <alignment horizontal="left"/>
    </xf>
    <xf numFmtId="3" fontId="1" fillId="0" borderId="0" xfId="0" applyNumberFormat="1" applyFont="1" applyBorder="1" applyAlignment="1">
      <alignment horizontal="left"/>
    </xf>
    <xf numFmtId="3" fontId="1" fillId="0" borderId="0" xfId="0" applyNumberFormat="1" applyFont="1" applyFill="1" applyBorder="1" applyAlignment="1">
      <alignment horizontal="right"/>
    </xf>
    <xf numFmtId="49" fontId="1" fillId="0" borderId="0" xfId="0" applyNumberFormat="1" applyFont="1" applyBorder="1" applyAlignment="1">
      <alignment horizontal="right"/>
    </xf>
    <xf numFmtId="3" fontId="2" fillId="0" borderId="0" xfId="0" applyNumberFormat="1" applyFont="1" applyBorder="1" applyAlignment="1">
      <alignment/>
    </xf>
    <xf numFmtId="3" fontId="1" fillId="0" borderId="35" xfId="0" applyNumberFormat="1" applyFont="1" applyBorder="1" applyAlignment="1">
      <alignment horizontal="right"/>
    </xf>
    <xf numFmtId="0" fontId="1" fillId="0" borderId="35" xfId="0" applyFont="1" applyBorder="1" applyAlignment="1">
      <alignment/>
    </xf>
    <xf numFmtId="3" fontId="1" fillId="0" borderId="36" xfId="0" applyNumberFormat="1" applyFont="1" applyBorder="1" applyAlignment="1">
      <alignment/>
    </xf>
    <xf numFmtId="0" fontId="2" fillId="0" borderId="0" xfId="0" applyFont="1" applyBorder="1" applyAlignment="1">
      <alignment/>
    </xf>
    <xf numFmtId="3" fontId="12" fillId="0" borderId="0" xfId="0" applyNumberFormat="1" applyFont="1" applyFill="1" applyBorder="1" applyAlignment="1">
      <alignment horizontal="left"/>
    </xf>
    <xf numFmtId="0" fontId="0" fillId="0" borderId="0" xfId="0" applyFont="1" applyFill="1" applyBorder="1" applyAlignment="1">
      <alignment/>
    </xf>
    <xf numFmtId="17" fontId="0" fillId="0" borderId="0" xfId="0" applyNumberFormat="1"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NumberFormat="1" applyFont="1" applyBorder="1" applyAlignment="1">
      <alignment horizontal="left"/>
    </xf>
    <xf numFmtId="3" fontId="1" fillId="0" borderId="37" xfId="0" applyNumberFormat="1" applyFont="1" applyBorder="1" applyAlignment="1">
      <alignment horizontal="left"/>
    </xf>
    <xf numFmtId="3" fontId="2" fillId="0" borderId="19" xfId="0" applyNumberFormat="1" applyFont="1" applyBorder="1" applyAlignment="1">
      <alignment/>
    </xf>
    <xf numFmtId="3" fontId="2" fillId="0" borderId="0" xfId="0" applyNumberFormat="1" applyFont="1" applyAlignment="1">
      <alignment/>
    </xf>
    <xf numFmtId="3" fontId="2" fillId="0" borderId="0" xfId="0" applyNumberFormat="1" applyFont="1" applyBorder="1" applyAlignment="1">
      <alignment/>
    </xf>
    <xf numFmtId="166" fontId="1" fillId="0" borderId="0" xfId="0" applyNumberFormat="1" applyFont="1" applyBorder="1" applyAlignment="1">
      <alignment horizontal="left"/>
    </xf>
    <xf numFmtId="0" fontId="1" fillId="0" borderId="31" xfId="0" applyFont="1" applyBorder="1" applyAlignment="1">
      <alignment/>
    </xf>
    <xf numFmtId="166" fontId="2" fillId="0" borderId="0" xfId="0" applyNumberFormat="1" applyFont="1" applyBorder="1" applyAlignment="1">
      <alignment/>
    </xf>
    <xf numFmtId="3" fontId="2" fillId="0" borderId="38" xfId="0" applyNumberFormat="1" applyFont="1" applyBorder="1" applyAlignment="1">
      <alignment/>
    </xf>
    <xf numFmtId="0" fontId="2" fillId="34" borderId="0" xfId="0" applyFont="1" applyFill="1" applyBorder="1" applyAlignment="1">
      <alignment/>
    </xf>
    <xf numFmtId="3" fontId="2" fillId="34" borderId="0" xfId="0" applyNumberFormat="1" applyFont="1" applyFill="1" applyBorder="1" applyAlignment="1">
      <alignment/>
    </xf>
    <xf numFmtId="3" fontId="1" fillId="34" borderId="39" xfId="0" applyNumberFormat="1" applyFont="1" applyFill="1" applyBorder="1" applyAlignment="1">
      <alignment horizontal="right"/>
    </xf>
    <xf numFmtId="3" fontId="1" fillId="0" borderId="36" xfId="0" applyNumberFormat="1" applyFont="1" applyBorder="1" applyAlignment="1">
      <alignment horizontal="right"/>
    </xf>
    <xf numFmtId="3" fontId="1" fillId="0" borderId="35" xfId="0" applyNumberFormat="1" applyFont="1" applyBorder="1" applyAlignment="1">
      <alignment/>
    </xf>
    <xf numFmtId="3" fontId="1" fillId="0" borderId="37" xfId="0" applyNumberFormat="1" applyFont="1" applyBorder="1" applyAlignment="1">
      <alignment horizontal="right"/>
    </xf>
    <xf numFmtId="0" fontId="1" fillId="0" borderId="36" xfId="0" applyFont="1" applyBorder="1" applyAlignment="1">
      <alignment/>
    </xf>
    <xf numFmtId="3" fontId="1" fillId="0" borderId="0" xfId="0" applyNumberFormat="1" applyFont="1" applyFill="1" applyBorder="1" applyAlignment="1">
      <alignment/>
    </xf>
    <xf numFmtId="3" fontId="1" fillId="0" borderId="36" xfId="0" applyNumberFormat="1" applyFont="1" applyFill="1" applyBorder="1" applyAlignment="1">
      <alignment/>
    </xf>
    <xf numFmtId="0" fontId="1" fillId="0" borderId="40" xfId="0" applyFont="1" applyBorder="1" applyAlignment="1">
      <alignment/>
    </xf>
    <xf numFmtId="3" fontId="1" fillId="0" borderId="30" xfId="0" applyNumberFormat="1" applyFont="1" applyBorder="1" applyAlignment="1">
      <alignment horizontal="left"/>
    </xf>
    <xf numFmtId="3" fontId="1" fillId="0" borderId="37" xfId="0" applyNumberFormat="1" applyFont="1" applyBorder="1" applyAlignment="1">
      <alignment/>
    </xf>
    <xf numFmtId="3" fontId="2" fillId="0" borderId="41" xfId="0" applyNumberFormat="1" applyFont="1" applyBorder="1" applyAlignment="1">
      <alignment/>
    </xf>
    <xf numFmtId="3" fontId="2" fillId="0" borderId="42" xfId="0" applyNumberFormat="1" applyFont="1" applyBorder="1" applyAlignment="1">
      <alignment/>
    </xf>
    <xf numFmtId="3" fontId="2" fillId="0" borderId="30" xfId="0" applyNumberFormat="1" applyFont="1" applyBorder="1" applyAlignment="1">
      <alignment/>
    </xf>
    <xf numFmtId="3" fontId="1" fillId="0" borderId="43" xfId="0" applyNumberFormat="1" applyFont="1" applyBorder="1" applyAlignment="1">
      <alignment horizontal="left"/>
    </xf>
    <xf numFmtId="3" fontId="1" fillId="0" borderId="44" xfId="0" applyNumberFormat="1" applyFont="1" applyBorder="1" applyAlignment="1">
      <alignment/>
    </xf>
    <xf numFmtId="3" fontId="1" fillId="0" borderId="12" xfId="0" applyNumberFormat="1" applyFont="1" applyBorder="1" applyAlignment="1">
      <alignment/>
    </xf>
    <xf numFmtId="3" fontId="1" fillId="33" borderId="0" xfId="0" applyNumberFormat="1" applyFont="1" applyFill="1" applyBorder="1" applyAlignment="1">
      <alignment/>
    </xf>
    <xf numFmtId="3" fontId="13" fillId="0" borderId="0" xfId="0" applyNumberFormat="1" applyFont="1" applyBorder="1" applyAlignment="1">
      <alignment/>
    </xf>
    <xf numFmtId="0" fontId="2" fillId="0" borderId="45" xfId="0" applyFont="1" applyBorder="1" applyAlignment="1">
      <alignment/>
    </xf>
    <xf numFmtId="0" fontId="1" fillId="0" borderId="46" xfId="0" applyFont="1" applyBorder="1" applyAlignment="1">
      <alignment/>
    </xf>
    <xf numFmtId="0" fontId="1" fillId="0" borderId="30" xfId="0" applyFont="1" applyBorder="1" applyAlignment="1">
      <alignment/>
    </xf>
    <xf numFmtId="3" fontId="1" fillId="0" borderId="47" xfId="0" applyNumberFormat="1" applyFont="1" applyBorder="1" applyAlignment="1">
      <alignment/>
    </xf>
    <xf numFmtId="3" fontId="1" fillId="0" borderId="43" xfId="0" applyNumberFormat="1" applyFont="1" applyBorder="1" applyAlignment="1">
      <alignment/>
    </xf>
    <xf numFmtId="3" fontId="1" fillId="0" borderId="48" xfId="0" applyNumberFormat="1" applyFont="1" applyBorder="1" applyAlignment="1">
      <alignment/>
    </xf>
    <xf numFmtId="3" fontId="1" fillId="0" borderId="30" xfId="0" applyNumberFormat="1" applyFont="1" applyBorder="1" applyAlignment="1">
      <alignment/>
    </xf>
    <xf numFmtId="0" fontId="1" fillId="0" borderId="37" xfId="0" applyFont="1" applyBorder="1" applyAlignment="1">
      <alignment/>
    </xf>
    <xf numFmtId="3" fontId="1" fillId="0" borderId="43" xfId="0" applyNumberFormat="1" applyFont="1" applyBorder="1" applyAlignment="1">
      <alignment horizontal="right"/>
    </xf>
    <xf numFmtId="0" fontId="1" fillId="0" borderId="49" xfId="0" applyFont="1" applyBorder="1" applyAlignment="1">
      <alignment/>
    </xf>
    <xf numFmtId="166" fontId="1" fillId="0" borderId="49" xfId="0" applyNumberFormat="1" applyFont="1" applyBorder="1" applyAlignment="1">
      <alignment horizontal="right"/>
    </xf>
    <xf numFmtId="0" fontId="1" fillId="0" borderId="29" xfId="0" applyFont="1" applyBorder="1" applyAlignment="1">
      <alignment/>
    </xf>
    <xf numFmtId="166" fontId="1" fillId="0" borderId="29" xfId="0" applyNumberFormat="1" applyFont="1" applyBorder="1" applyAlignment="1">
      <alignment horizontal="right"/>
    </xf>
    <xf numFmtId="3" fontId="1" fillId="0" borderId="46" xfId="0" applyNumberFormat="1" applyFont="1" applyBorder="1" applyAlignment="1">
      <alignment/>
    </xf>
    <xf numFmtId="3" fontId="1" fillId="0" borderId="50" xfId="0" applyNumberFormat="1" applyFont="1" applyBorder="1" applyAlignment="1">
      <alignment/>
    </xf>
    <xf numFmtId="0" fontId="1" fillId="0" borderId="51" xfId="0" applyFont="1" applyBorder="1" applyAlignment="1">
      <alignment/>
    </xf>
    <xf numFmtId="166" fontId="1" fillId="0" borderId="51" xfId="0" applyNumberFormat="1" applyFont="1" applyBorder="1" applyAlignment="1">
      <alignment horizontal="right"/>
    </xf>
    <xf numFmtId="0" fontId="1" fillId="0" borderId="49" xfId="0" applyFont="1" applyBorder="1" applyAlignment="1">
      <alignment horizontal="left"/>
    </xf>
    <xf numFmtId="0" fontId="12" fillId="35" borderId="23" xfId="0" applyNumberFormat="1" applyFont="1" applyFill="1" applyBorder="1" applyAlignment="1">
      <alignment horizontal="center"/>
    </xf>
    <xf numFmtId="3" fontId="1" fillId="0" borderId="52" xfId="0" applyNumberFormat="1" applyFont="1" applyBorder="1" applyAlignment="1">
      <alignment/>
    </xf>
    <xf numFmtId="3" fontId="1" fillId="0" borderId="52" xfId="0" applyNumberFormat="1" applyFont="1" applyBorder="1" applyAlignment="1">
      <alignment horizontal="right"/>
    </xf>
    <xf numFmtId="0" fontId="1" fillId="0" borderId="52" xfId="0" applyFont="1" applyBorder="1" applyAlignment="1">
      <alignment/>
    </xf>
    <xf numFmtId="3" fontId="1" fillId="0" borderId="52" xfId="0" applyNumberFormat="1" applyFont="1" applyFill="1" applyBorder="1" applyAlignment="1">
      <alignment/>
    </xf>
    <xf numFmtId="3" fontId="1" fillId="0" borderId="36" xfId="0" applyNumberFormat="1" applyFont="1" applyBorder="1" applyAlignment="1">
      <alignment horizontal="left"/>
    </xf>
    <xf numFmtId="3" fontId="2" fillId="35" borderId="53" xfId="0" applyNumberFormat="1" applyFont="1" applyFill="1" applyBorder="1" applyAlignment="1">
      <alignment/>
    </xf>
    <xf numFmtId="3" fontId="2" fillId="35" borderId="54" xfId="0" applyNumberFormat="1" applyFont="1" applyFill="1" applyBorder="1" applyAlignment="1">
      <alignment/>
    </xf>
    <xf numFmtId="0" fontId="22" fillId="35" borderId="27" xfId="0" applyFont="1" applyFill="1" applyBorder="1" applyAlignment="1">
      <alignment horizontal="center"/>
    </xf>
    <xf numFmtId="0" fontId="12" fillId="35" borderId="43" xfId="0" applyNumberFormat="1" applyFont="1" applyFill="1" applyBorder="1" applyAlignment="1">
      <alignment horizontal="center"/>
    </xf>
    <xf numFmtId="0" fontId="12" fillId="35" borderId="48" xfId="0" applyNumberFormat="1" applyFont="1" applyFill="1" applyBorder="1" applyAlignment="1">
      <alignment horizontal="center"/>
    </xf>
    <xf numFmtId="3" fontId="2" fillId="0" borderId="55" xfId="0" applyNumberFormat="1" applyFont="1" applyBorder="1" applyAlignment="1">
      <alignment/>
    </xf>
    <xf numFmtId="3" fontId="1" fillId="0" borderId="37" xfId="0" applyNumberFormat="1" applyFont="1" applyBorder="1" applyAlignment="1">
      <alignment/>
    </xf>
    <xf numFmtId="3" fontId="1" fillId="0" borderId="37" xfId="0" applyNumberFormat="1" applyFont="1" applyFill="1" applyBorder="1" applyAlignment="1">
      <alignment/>
    </xf>
    <xf numFmtId="173" fontId="2" fillId="0" borderId="29" xfId="0" applyNumberFormat="1" applyFont="1" applyBorder="1" applyAlignment="1">
      <alignment/>
    </xf>
    <xf numFmtId="3" fontId="23" fillId="0" borderId="0" xfId="0" applyNumberFormat="1" applyFont="1" applyBorder="1" applyAlignment="1">
      <alignment horizontal="right"/>
    </xf>
    <xf numFmtId="0" fontId="0" fillId="0" borderId="0" xfId="0" applyFont="1" applyBorder="1" applyAlignment="1">
      <alignment/>
    </xf>
    <xf numFmtId="0" fontId="0" fillId="0" borderId="0" xfId="0" applyFont="1" applyFill="1" applyBorder="1" applyAlignment="1">
      <alignment/>
    </xf>
    <xf numFmtId="49" fontId="1" fillId="0" borderId="0" xfId="0" applyNumberFormat="1" applyFont="1" applyAlignment="1">
      <alignment/>
    </xf>
    <xf numFmtId="0" fontId="25" fillId="0" borderId="0" xfId="0" applyFont="1" applyAlignment="1">
      <alignment/>
    </xf>
    <xf numFmtId="0" fontId="26" fillId="0" borderId="0" xfId="0" applyFont="1" applyAlignment="1">
      <alignment/>
    </xf>
    <xf numFmtId="3" fontId="25" fillId="0" borderId="0" xfId="0" applyNumberFormat="1" applyFont="1" applyAlignment="1">
      <alignment/>
    </xf>
    <xf numFmtId="0" fontId="24" fillId="0" borderId="0" xfId="0" applyFont="1" applyAlignment="1">
      <alignment/>
    </xf>
    <xf numFmtId="0" fontId="19" fillId="0" borderId="0" xfId="0" applyFont="1" applyAlignment="1">
      <alignment/>
    </xf>
    <xf numFmtId="3" fontId="1" fillId="0" borderId="56" xfId="0" applyNumberFormat="1" applyFont="1" applyBorder="1" applyAlignment="1">
      <alignment/>
    </xf>
    <xf numFmtId="3" fontId="1" fillId="0" borderId="56" xfId="0" applyNumberFormat="1" applyFont="1" applyBorder="1" applyAlignment="1">
      <alignment horizontal="right"/>
    </xf>
    <xf numFmtId="3" fontId="1" fillId="0" borderId="52" xfId="0" applyNumberFormat="1" applyFont="1" applyBorder="1" applyAlignment="1">
      <alignment/>
    </xf>
    <xf numFmtId="4" fontId="1" fillId="0" borderId="52" xfId="0" applyNumberFormat="1" applyFont="1" applyBorder="1" applyAlignment="1">
      <alignment/>
    </xf>
    <xf numFmtId="4" fontId="1" fillId="0" borderId="57" xfId="0" applyNumberFormat="1" applyFont="1" applyBorder="1" applyAlignment="1">
      <alignment/>
    </xf>
    <xf numFmtId="3" fontId="1" fillId="0" borderId="57" xfId="0" applyNumberFormat="1" applyFont="1" applyBorder="1" applyAlignment="1">
      <alignment/>
    </xf>
    <xf numFmtId="3" fontId="2" fillId="0" borderId="58" xfId="0" applyNumberFormat="1" applyFont="1" applyBorder="1" applyAlignment="1">
      <alignment/>
    </xf>
    <xf numFmtId="3" fontId="2" fillId="0" borderId="59" xfId="0" applyNumberFormat="1" applyFont="1" applyBorder="1" applyAlignment="1">
      <alignment/>
    </xf>
    <xf numFmtId="49" fontId="2" fillId="35" borderId="58" xfId="0" applyNumberFormat="1" applyFont="1" applyFill="1" applyBorder="1" applyAlignment="1">
      <alignment horizontal="right"/>
    </xf>
    <xf numFmtId="49" fontId="2" fillId="35" borderId="59" xfId="0" applyNumberFormat="1" applyFont="1" applyFill="1" applyBorder="1" applyAlignment="1">
      <alignment horizontal="right"/>
    </xf>
    <xf numFmtId="0" fontId="12" fillId="0" borderId="0" xfId="0" applyFont="1" applyAlignment="1">
      <alignment horizontal="center"/>
    </xf>
    <xf numFmtId="0" fontId="12" fillId="0" borderId="0" xfId="0" applyFont="1" applyAlignment="1">
      <alignment horizontal="right"/>
    </xf>
    <xf numFmtId="0" fontId="2" fillId="33" borderId="0" xfId="0" applyFont="1" applyFill="1" applyAlignment="1">
      <alignment horizontal="center"/>
    </xf>
    <xf numFmtId="0" fontId="27" fillId="0" borderId="0" xfId="0" applyFont="1" applyAlignment="1">
      <alignment/>
    </xf>
    <xf numFmtId="3" fontId="27" fillId="0" borderId="0" xfId="0" applyNumberFormat="1" applyFont="1" applyAlignment="1">
      <alignment/>
    </xf>
    <xf numFmtId="0" fontId="1" fillId="34" borderId="34" xfId="0" applyFont="1" applyFill="1" applyBorder="1" applyAlignment="1">
      <alignment/>
    </xf>
    <xf numFmtId="3" fontId="1" fillId="33" borderId="33" xfId="0" applyNumberFormat="1" applyFont="1" applyFill="1" applyBorder="1" applyAlignment="1">
      <alignment/>
    </xf>
    <xf numFmtId="3" fontId="1" fillId="34" borderId="33" xfId="0" applyNumberFormat="1" applyFont="1" applyFill="1" applyBorder="1" applyAlignment="1">
      <alignment/>
    </xf>
    <xf numFmtId="3" fontId="2" fillId="34" borderId="60" xfId="0" applyNumberFormat="1" applyFont="1" applyFill="1" applyBorder="1" applyAlignment="1">
      <alignment/>
    </xf>
    <xf numFmtId="0" fontId="1" fillId="34" borderId="32" xfId="0" applyFont="1" applyFill="1" applyBorder="1" applyAlignment="1">
      <alignment/>
    </xf>
    <xf numFmtId="0" fontId="2" fillId="34" borderId="61" xfId="0" applyFont="1" applyFill="1" applyBorder="1" applyAlignment="1">
      <alignment/>
    </xf>
    <xf numFmtId="3" fontId="2" fillId="34" borderId="62" xfId="0" applyNumberFormat="1" applyFont="1" applyFill="1" applyBorder="1" applyAlignment="1">
      <alignment/>
    </xf>
    <xf numFmtId="0" fontId="1" fillId="33" borderId="18" xfId="0" applyFont="1" applyFill="1" applyBorder="1" applyAlignment="1">
      <alignment/>
    </xf>
    <xf numFmtId="3" fontId="1" fillId="33" borderId="19" xfId="0" applyNumberFormat="1" applyFont="1" applyFill="1" applyBorder="1" applyAlignment="1">
      <alignment horizontal="right"/>
    </xf>
    <xf numFmtId="0" fontId="1" fillId="33" borderId="32" xfId="0" applyFont="1" applyFill="1" applyBorder="1" applyAlignment="1">
      <alignment/>
    </xf>
    <xf numFmtId="0" fontId="2" fillId="33" borderId="63" xfId="0" applyFont="1" applyFill="1" applyBorder="1" applyAlignment="1">
      <alignment/>
    </xf>
    <xf numFmtId="3" fontId="2" fillId="33" borderId="64" xfId="0" applyNumberFormat="1" applyFont="1" applyFill="1" applyBorder="1" applyAlignment="1">
      <alignment/>
    </xf>
    <xf numFmtId="3" fontId="2" fillId="33" borderId="65" xfId="0" applyNumberFormat="1" applyFont="1" applyFill="1" applyBorder="1" applyAlignment="1">
      <alignment/>
    </xf>
    <xf numFmtId="166" fontId="2" fillId="0" borderId="66" xfId="0" applyNumberFormat="1" applyFont="1" applyBorder="1" applyAlignment="1">
      <alignment horizontal="left"/>
    </xf>
    <xf numFmtId="3" fontId="1" fillId="34" borderId="18" xfId="0" applyNumberFormat="1" applyFont="1" applyFill="1" applyBorder="1" applyAlignment="1">
      <alignment/>
    </xf>
    <xf numFmtId="3" fontId="2" fillId="34" borderId="67" xfId="0" applyNumberFormat="1" applyFont="1" applyFill="1" applyBorder="1" applyAlignment="1">
      <alignment/>
    </xf>
    <xf numFmtId="3" fontId="2" fillId="34" borderId="61" xfId="0" applyNumberFormat="1" applyFont="1" applyFill="1" applyBorder="1" applyAlignment="1">
      <alignment/>
    </xf>
    <xf numFmtId="166" fontId="1" fillId="34" borderId="68" xfId="0" applyNumberFormat="1" applyFont="1" applyFill="1" applyBorder="1" applyAlignment="1">
      <alignment horizontal="right"/>
    </xf>
    <xf numFmtId="166" fontId="1" fillId="34" borderId="14" xfId="0" applyNumberFormat="1" applyFont="1" applyFill="1" applyBorder="1" applyAlignment="1">
      <alignment horizontal="right"/>
    </xf>
    <xf numFmtId="166" fontId="1" fillId="34" borderId="69" xfId="0" applyNumberFormat="1" applyFont="1" applyFill="1" applyBorder="1" applyAlignment="1">
      <alignment horizontal="right"/>
    </xf>
    <xf numFmtId="166" fontId="2" fillId="34" borderId="67" xfId="0" applyNumberFormat="1" applyFont="1" applyFill="1" applyBorder="1" applyAlignment="1">
      <alignment horizontal="center"/>
    </xf>
    <xf numFmtId="3" fontId="1" fillId="34" borderId="32" xfId="0" applyNumberFormat="1" applyFont="1" applyFill="1" applyBorder="1" applyAlignment="1">
      <alignment/>
    </xf>
    <xf numFmtId="166" fontId="1" fillId="33" borderId="14" xfId="0" applyNumberFormat="1" applyFont="1" applyFill="1" applyBorder="1" applyAlignment="1">
      <alignment horizontal="right"/>
    </xf>
    <xf numFmtId="166" fontId="1" fillId="33" borderId="69" xfId="0" applyNumberFormat="1" applyFont="1" applyFill="1" applyBorder="1" applyAlignment="1">
      <alignment horizontal="right"/>
    </xf>
    <xf numFmtId="166" fontId="2" fillId="33" borderId="70" xfId="0" applyNumberFormat="1" applyFont="1" applyFill="1" applyBorder="1" applyAlignment="1">
      <alignment horizontal="center"/>
    </xf>
    <xf numFmtId="3" fontId="1" fillId="33" borderId="18" xfId="0" applyNumberFormat="1" applyFont="1" applyFill="1" applyBorder="1" applyAlignment="1">
      <alignment/>
    </xf>
    <xf numFmtId="3" fontId="2" fillId="33" borderId="63" xfId="0" applyNumberFormat="1" applyFont="1" applyFill="1" applyBorder="1" applyAlignment="1">
      <alignment/>
    </xf>
    <xf numFmtId="3" fontId="2" fillId="33" borderId="70" xfId="0" applyNumberFormat="1" applyFont="1" applyFill="1" applyBorder="1" applyAlignment="1">
      <alignment/>
    </xf>
    <xf numFmtId="0" fontId="2" fillId="35" borderId="41" xfId="0" applyFont="1" applyFill="1" applyBorder="1" applyAlignment="1">
      <alignment horizontal="center"/>
    </xf>
    <xf numFmtId="166" fontId="2" fillId="35" borderId="42" xfId="0" applyNumberFormat="1" applyFont="1" applyFill="1" applyBorder="1" applyAlignment="1">
      <alignment horizontal="center"/>
    </xf>
    <xf numFmtId="0" fontId="12" fillId="35" borderId="47" xfId="0" applyFont="1" applyFill="1" applyBorder="1" applyAlignment="1">
      <alignment horizontal="center"/>
    </xf>
    <xf numFmtId="0" fontId="12" fillId="35" borderId="48" xfId="0" applyFont="1" applyFill="1" applyBorder="1" applyAlignment="1">
      <alignment horizontal="center"/>
    </xf>
    <xf numFmtId="0" fontId="12" fillId="0" borderId="53" xfId="0" applyFont="1" applyBorder="1" applyAlignment="1">
      <alignment horizontal="right"/>
    </xf>
    <xf numFmtId="0" fontId="12" fillId="0" borderId="44" xfId="0" applyFont="1" applyBorder="1" applyAlignment="1">
      <alignment horizontal="right"/>
    </xf>
    <xf numFmtId="166" fontId="2" fillId="0" borderId="41" xfId="0" applyNumberFormat="1" applyFont="1" applyBorder="1" applyAlignment="1">
      <alignment/>
    </xf>
    <xf numFmtId="1" fontId="1" fillId="0" borderId="0" xfId="0" applyNumberFormat="1" applyFont="1" applyBorder="1" applyAlignment="1">
      <alignment horizontal="right"/>
    </xf>
    <xf numFmtId="3" fontId="28" fillId="0" borderId="0" xfId="0" applyNumberFormat="1" applyFont="1" applyBorder="1" applyAlignment="1">
      <alignment horizontal="right"/>
    </xf>
    <xf numFmtId="166" fontId="2" fillId="0" borderId="55" xfId="0" applyNumberFormat="1" applyFont="1" applyBorder="1" applyAlignment="1">
      <alignment/>
    </xf>
    <xf numFmtId="166" fontId="12" fillId="0" borderId="0" xfId="0" applyNumberFormat="1" applyFont="1" applyAlignment="1">
      <alignment horizontal="left"/>
    </xf>
    <xf numFmtId="166" fontId="1" fillId="0" borderId="0" xfId="0" applyNumberFormat="1" applyFont="1" applyAlignment="1">
      <alignment horizontal="left"/>
    </xf>
    <xf numFmtId="166" fontId="3" fillId="0" borderId="43" xfId="0" applyNumberFormat="1" applyFont="1" applyBorder="1" applyAlignment="1">
      <alignment horizontal="center"/>
    </xf>
    <xf numFmtId="0" fontId="12" fillId="0" borderId="71" xfId="0" applyFont="1" applyBorder="1" applyAlignment="1">
      <alignment horizontal="right"/>
    </xf>
    <xf numFmtId="173" fontId="1" fillId="0" borderId="12" xfId="59" applyNumberFormat="1" applyFont="1" applyBorder="1" applyAlignment="1">
      <alignment horizontal="right"/>
    </xf>
    <xf numFmtId="3" fontId="1" fillId="0" borderId="44" xfId="0" applyNumberFormat="1" applyFont="1" applyBorder="1" applyAlignment="1">
      <alignment horizontal="right"/>
    </xf>
    <xf numFmtId="0" fontId="22" fillId="35" borderId="28" xfId="0" applyFont="1" applyFill="1" applyBorder="1" applyAlignment="1">
      <alignment horizontal="center"/>
    </xf>
    <xf numFmtId="0" fontId="3" fillId="0" borderId="47" xfId="0" applyFont="1" applyBorder="1" applyAlignment="1">
      <alignment horizontal="right"/>
    </xf>
    <xf numFmtId="3" fontId="2" fillId="0" borderId="72" xfId="0" applyNumberFormat="1" applyFont="1" applyBorder="1" applyAlignment="1">
      <alignment/>
    </xf>
    <xf numFmtId="0" fontId="12" fillId="35" borderId="46" xfId="0" applyFont="1" applyFill="1" applyBorder="1" applyAlignment="1">
      <alignment horizontal="center"/>
    </xf>
    <xf numFmtId="166" fontId="12" fillId="35" borderId="45" xfId="0" applyNumberFormat="1" applyFont="1" applyFill="1" applyBorder="1" applyAlignment="1">
      <alignment horizontal="center"/>
    </xf>
    <xf numFmtId="49" fontId="1" fillId="0" borderId="30" xfId="0" applyNumberFormat="1" applyFont="1" applyBorder="1" applyAlignment="1">
      <alignment horizontal="left"/>
    </xf>
    <xf numFmtId="3" fontId="1" fillId="0" borderId="30" xfId="0" applyNumberFormat="1" applyFont="1" applyBorder="1" applyAlignment="1">
      <alignment/>
    </xf>
    <xf numFmtId="3" fontId="1" fillId="0" borderId="30" xfId="0" applyNumberFormat="1" applyFont="1" applyBorder="1" applyAlignment="1">
      <alignment horizontal="right"/>
    </xf>
    <xf numFmtId="0" fontId="12" fillId="35" borderId="73" xfId="0" applyNumberFormat="1" applyFont="1" applyFill="1" applyBorder="1" applyAlignment="1">
      <alignment horizontal="center"/>
    </xf>
    <xf numFmtId="0" fontId="1" fillId="0" borderId="34" xfId="0" applyFont="1" applyBorder="1" applyAlignment="1">
      <alignment/>
    </xf>
    <xf numFmtId="166" fontId="1" fillId="0" borderId="74" xfId="0" applyNumberFormat="1" applyFont="1" applyBorder="1" applyAlignment="1">
      <alignment horizontal="right"/>
    </xf>
    <xf numFmtId="0" fontId="0" fillId="0" borderId="0" xfId="0" applyFont="1" applyFill="1" applyBorder="1" applyAlignment="1">
      <alignment/>
    </xf>
    <xf numFmtId="0" fontId="22" fillId="35" borderId="40" xfId="0" applyFont="1" applyFill="1" applyBorder="1" applyAlignment="1">
      <alignment horizontal="center"/>
    </xf>
    <xf numFmtId="49" fontId="2" fillId="35" borderId="41" xfId="0" applyNumberFormat="1" applyFont="1" applyFill="1" applyBorder="1" applyAlignment="1">
      <alignment horizontal="right"/>
    </xf>
    <xf numFmtId="4" fontId="1" fillId="0" borderId="35" xfId="0" applyNumberFormat="1" applyFont="1" applyBorder="1" applyAlignment="1">
      <alignment/>
    </xf>
    <xf numFmtId="166" fontId="3" fillId="0" borderId="0" xfId="0" applyNumberFormat="1" applyFont="1" applyFill="1" applyBorder="1" applyAlignment="1">
      <alignment horizontal="center"/>
    </xf>
    <xf numFmtId="166" fontId="12" fillId="0" borderId="56" xfId="0" applyNumberFormat="1" applyFont="1" applyBorder="1" applyAlignment="1">
      <alignment/>
    </xf>
    <xf numFmtId="166" fontId="12" fillId="0" borderId="12" xfId="0" applyNumberFormat="1" applyFont="1" applyBorder="1" applyAlignment="1">
      <alignment/>
    </xf>
    <xf numFmtId="0" fontId="2" fillId="0" borderId="41" xfId="0" applyFont="1" applyBorder="1" applyAlignment="1">
      <alignment/>
    </xf>
    <xf numFmtId="0" fontId="0" fillId="0" borderId="0" xfId="0" applyFont="1" applyFill="1" applyBorder="1" applyAlignment="1">
      <alignment/>
    </xf>
    <xf numFmtId="3" fontId="2" fillId="0" borderId="0" xfId="0" applyNumberFormat="1" applyFont="1" applyAlignment="1">
      <alignment horizontal="center"/>
    </xf>
    <xf numFmtId="3" fontId="1" fillId="34" borderId="20" xfId="0" applyNumberFormat="1" applyFont="1" applyFill="1" applyBorder="1" applyAlignment="1">
      <alignment/>
    </xf>
    <xf numFmtId="3" fontId="1" fillId="33" borderId="20" xfId="0" applyNumberFormat="1" applyFont="1" applyFill="1" applyBorder="1" applyAlignment="1">
      <alignment/>
    </xf>
    <xf numFmtId="0" fontId="0" fillId="0" borderId="0" xfId="0" applyFont="1" applyBorder="1" applyAlignment="1">
      <alignment horizontal="left"/>
    </xf>
    <xf numFmtId="166" fontId="12" fillId="0" borderId="75" xfId="0" applyNumberFormat="1" applyFont="1" applyBorder="1" applyAlignment="1">
      <alignment/>
    </xf>
    <xf numFmtId="166" fontId="12" fillId="0" borderId="14" xfId="0" applyNumberFormat="1" applyFont="1" applyBorder="1" applyAlignment="1">
      <alignment/>
    </xf>
    <xf numFmtId="166" fontId="12" fillId="0" borderId="76" xfId="0" applyNumberFormat="1" applyFont="1" applyBorder="1" applyAlignment="1">
      <alignment horizontal="right"/>
    </xf>
    <xf numFmtId="0" fontId="1" fillId="0" borderId="77" xfId="0" applyFont="1" applyBorder="1" applyAlignment="1">
      <alignment horizontal="right"/>
    </xf>
    <xf numFmtId="0" fontId="1" fillId="0" borderId="31" xfId="0" applyFont="1" applyBorder="1" applyAlignment="1">
      <alignment horizontal="right"/>
    </xf>
    <xf numFmtId="0" fontId="1" fillId="0" borderId="31" xfId="0" applyNumberFormat="1" applyFont="1" applyBorder="1" applyAlignment="1">
      <alignment horizontal="right"/>
    </xf>
    <xf numFmtId="0" fontId="1" fillId="0" borderId="31" xfId="0" applyNumberFormat="1" applyFont="1" applyBorder="1" applyAlignment="1">
      <alignment horizontal="left"/>
    </xf>
    <xf numFmtId="166" fontId="12" fillId="0" borderId="78" xfId="0" applyNumberFormat="1" applyFont="1" applyBorder="1" applyAlignment="1">
      <alignment horizontal="right"/>
    </xf>
    <xf numFmtId="166" fontId="12" fillId="0" borderId="79" xfId="0" applyNumberFormat="1" applyFont="1" applyBorder="1" applyAlignment="1">
      <alignment horizontal="right"/>
    </xf>
    <xf numFmtId="166" fontId="12" fillId="0" borderId="80" xfId="0" applyNumberFormat="1" applyFont="1" applyBorder="1" applyAlignment="1">
      <alignment horizontal="right"/>
    </xf>
    <xf numFmtId="166" fontId="12" fillId="0" borderId="81" xfId="0" applyNumberFormat="1" applyFont="1" applyBorder="1" applyAlignment="1">
      <alignment horizontal="right"/>
    </xf>
    <xf numFmtId="0" fontId="1" fillId="0" borderId="77" xfId="0" applyNumberFormat="1" applyFont="1" applyBorder="1" applyAlignment="1">
      <alignment horizontal="right"/>
    </xf>
    <xf numFmtId="0" fontId="1" fillId="0" borderId="82" xfId="0" applyNumberFormat="1" applyFont="1" applyBorder="1" applyAlignment="1">
      <alignment horizontal="right"/>
    </xf>
    <xf numFmtId="166" fontId="12" fillId="0" borderId="81" xfId="0" applyNumberFormat="1" applyFont="1" applyBorder="1" applyAlignment="1">
      <alignment/>
    </xf>
    <xf numFmtId="0" fontId="1" fillId="0" borderId="82" xfId="0" applyFont="1" applyBorder="1" applyAlignment="1">
      <alignment horizontal="right"/>
    </xf>
    <xf numFmtId="166" fontId="3" fillId="0" borderId="47" xfId="0" applyNumberFormat="1" applyFont="1" applyBorder="1" applyAlignment="1">
      <alignment horizontal="center"/>
    </xf>
    <xf numFmtId="166" fontId="3" fillId="0" borderId="48" xfId="0" applyNumberFormat="1" applyFont="1" applyBorder="1" applyAlignment="1">
      <alignment horizontal="center"/>
    </xf>
    <xf numFmtId="3" fontId="13" fillId="0" borderId="0" xfId="0" applyNumberFormat="1" applyFont="1" applyBorder="1" applyAlignment="1">
      <alignment wrapText="1"/>
    </xf>
    <xf numFmtId="3" fontId="29" fillId="0" borderId="0" xfId="0" applyNumberFormat="1" applyFont="1" applyAlignment="1">
      <alignment/>
    </xf>
    <xf numFmtId="3" fontId="30" fillId="0" borderId="0" xfId="0" applyNumberFormat="1" applyFont="1" applyAlignment="1">
      <alignment/>
    </xf>
    <xf numFmtId="3" fontId="23" fillId="0" borderId="0" xfId="0" applyNumberFormat="1" applyFont="1" applyAlignment="1">
      <alignment/>
    </xf>
    <xf numFmtId="0" fontId="23" fillId="0" borderId="0" xfId="0" applyFont="1" applyAlignment="1">
      <alignment/>
    </xf>
    <xf numFmtId="0" fontId="29" fillId="0" borderId="0" xfId="0" applyFont="1" applyAlignment="1">
      <alignment/>
    </xf>
    <xf numFmtId="0" fontId="23" fillId="0" borderId="0" xfId="0" applyFont="1" applyBorder="1" applyAlignment="1">
      <alignment/>
    </xf>
    <xf numFmtId="3" fontId="23" fillId="0" borderId="0" xfId="0" applyNumberFormat="1" applyFont="1" applyBorder="1" applyAlignment="1">
      <alignment/>
    </xf>
    <xf numFmtId="0" fontId="30" fillId="0" borderId="0" xfId="0" applyFont="1" applyAlignment="1">
      <alignment/>
    </xf>
    <xf numFmtId="0" fontId="31" fillId="0" borderId="0" xfId="0" applyFont="1" applyAlignment="1">
      <alignment/>
    </xf>
    <xf numFmtId="0" fontId="2" fillId="0" borderId="83" xfId="0" applyFont="1" applyBorder="1" applyAlignment="1">
      <alignment/>
    </xf>
    <xf numFmtId="0" fontId="12" fillId="35" borderId="15" xfId="0" applyFont="1" applyFill="1" applyBorder="1" applyAlignment="1">
      <alignment horizontal="center"/>
    </xf>
    <xf numFmtId="166" fontId="12" fillId="35" borderId="16" xfId="0" applyNumberFormat="1" applyFont="1" applyFill="1" applyBorder="1" applyAlignment="1">
      <alignment horizontal="center"/>
    </xf>
    <xf numFmtId="3" fontId="30" fillId="0" borderId="0" xfId="0" applyNumberFormat="1" applyFont="1" applyBorder="1" applyAlignment="1">
      <alignment/>
    </xf>
    <xf numFmtId="0" fontId="1" fillId="0" borderId="44" xfId="0" applyFont="1" applyBorder="1" applyAlignment="1">
      <alignment/>
    </xf>
    <xf numFmtId="0" fontId="12" fillId="35" borderId="73" xfId="0" applyNumberFormat="1" applyFont="1" applyFill="1" applyBorder="1" applyAlignment="1">
      <alignment horizontal="right"/>
    </xf>
    <xf numFmtId="0" fontId="1" fillId="0" borderId="36" xfId="0" applyFont="1" applyBorder="1" applyAlignment="1">
      <alignment horizontal="right"/>
    </xf>
    <xf numFmtId="3" fontId="1" fillId="0" borderId="36" xfId="0" applyNumberFormat="1" applyFont="1" applyFill="1" applyBorder="1" applyAlignment="1">
      <alignment horizontal="right"/>
    </xf>
    <xf numFmtId="3" fontId="2" fillId="0" borderId="38" xfId="0" applyNumberFormat="1" applyFont="1" applyBorder="1" applyAlignment="1">
      <alignment horizontal="right"/>
    </xf>
    <xf numFmtId="3" fontId="2" fillId="0" borderId="0" xfId="0" applyNumberFormat="1" applyFont="1" applyBorder="1" applyAlignment="1">
      <alignment horizontal="right"/>
    </xf>
    <xf numFmtId="3" fontId="2" fillId="34" borderId="0" xfId="0" applyNumberFormat="1" applyFont="1" applyFill="1" applyBorder="1" applyAlignment="1">
      <alignment horizontal="right"/>
    </xf>
    <xf numFmtId="3" fontId="2" fillId="0" borderId="42" xfId="0" applyNumberFormat="1" applyFont="1" applyBorder="1" applyAlignment="1">
      <alignment horizontal="right"/>
    </xf>
    <xf numFmtId="3" fontId="1" fillId="33" borderId="32" xfId="0" applyNumberFormat="1" applyFont="1" applyFill="1" applyBorder="1" applyAlignment="1">
      <alignment/>
    </xf>
    <xf numFmtId="166" fontId="12" fillId="0" borderId="84" xfId="0" applyNumberFormat="1" applyFont="1" applyBorder="1" applyAlignment="1">
      <alignment/>
    </xf>
    <xf numFmtId="166" fontId="12" fillId="0" borderId="31" xfId="0" applyNumberFormat="1" applyFont="1" applyBorder="1" applyAlignment="1">
      <alignment/>
    </xf>
    <xf numFmtId="166" fontId="12" fillId="0" borderId="31" xfId="0" applyNumberFormat="1" applyFont="1" applyBorder="1" applyAlignment="1">
      <alignment horizontal="right"/>
    </xf>
    <xf numFmtId="166" fontId="12" fillId="0" borderId="82" xfId="0" applyNumberFormat="1" applyFont="1" applyBorder="1" applyAlignment="1">
      <alignment horizontal="right"/>
    </xf>
    <xf numFmtId="166" fontId="12" fillId="0" borderId="15" xfId="0" applyNumberFormat="1" applyFont="1" applyBorder="1" applyAlignment="1">
      <alignment/>
    </xf>
    <xf numFmtId="166" fontId="12" fillId="0" borderId="85" xfId="0" applyNumberFormat="1" applyFont="1" applyBorder="1" applyAlignment="1">
      <alignment/>
    </xf>
    <xf numFmtId="166" fontId="12" fillId="0" borderId="18" xfId="0" applyNumberFormat="1" applyFont="1" applyBorder="1" applyAlignment="1">
      <alignment horizontal="right"/>
    </xf>
    <xf numFmtId="166" fontId="12" fillId="0" borderId="19" xfId="0" applyNumberFormat="1" applyFont="1" applyBorder="1" applyAlignment="1">
      <alignment/>
    </xf>
    <xf numFmtId="166" fontId="12" fillId="0" borderId="19" xfId="0" applyNumberFormat="1" applyFont="1" applyBorder="1" applyAlignment="1">
      <alignment horizontal="right"/>
    </xf>
    <xf numFmtId="166" fontId="12" fillId="0" borderId="26" xfId="0" applyNumberFormat="1" applyFont="1" applyBorder="1" applyAlignment="1">
      <alignment horizontal="right"/>
    </xf>
    <xf numFmtId="166" fontId="12" fillId="0" borderId="28" xfId="0" applyNumberFormat="1" applyFont="1" applyBorder="1" applyAlignment="1">
      <alignment horizontal="right"/>
    </xf>
    <xf numFmtId="166" fontId="12" fillId="0" borderId="77" xfId="0" applyNumberFormat="1" applyFont="1" applyBorder="1" applyAlignment="1">
      <alignment horizontal="right"/>
    </xf>
    <xf numFmtId="0" fontId="12" fillId="0" borderId="31" xfId="0" applyNumberFormat="1" applyFont="1" applyBorder="1" applyAlignment="1">
      <alignment horizontal="right"/>
    </xf>
    <xf numFmtId="0" fontId="3" fillId="0" borderId="37" xfId="0" applyFont="1" applyBorder="1" applyAlignment="1">
      <alignment horizontal="center"/>
    </xf>
    <xf numFmtId="0" fontId="1" fillId="0" borderId="78" xfId="0" applyFont="1" applyBorder="1" applyAlignment="1">
      <alignment/>
    </xf>
    <xf numFmtId="0" fontId="1" fillId="0" borderId="79" xfId="0" applyFont="1" applyBorder="1" applyAlignment="1">
      <alignment/>
    </xf>
    <xf numFmtId="0" fontId="1" fillId="0" borderId="80" xfId="0" applyFont="1" applyBorder="1" applyAlignment="1">
      <alignment/>
    </xf>
    <xf numFmtId="0" fontId="3" fillId="0" borderId="43" xfId="0" applyFont="1" applyBorder="1" applyAlignment="1">
      <alignment horizontal="center"/>
    </xf>
    <xf numFmtId="177" fontId="1" fillId="0" borderId="0" xfId="0" applyNumberFormat="1" applyFont="1" applyAlignment="1">
      <alignment/>
    </xf>
    <xf numFmtId="0" fontId="2" fillId="0" borderId="0" xfId="0" applyFont="1" applyAlignment="1">
      <alignment/>
    </xf>
    <xf numFmtId="177" fontId="2" fillId="0" borderId="0" xfId="0" applyNumberFormat="1" applyFont="1" applyAlignment="1">
      <alignment/>
    </xf>
    <xf numFmtId="166" fontId="12" fillId="0" borderId="17" xfId="0" applyNumberFormat="1" applyFont="1" applyBorder="1" applyAlignment="1">
      <alignment/>
    </xf>
    <xf numFmtId="166" fontId="12" fillId="0" borderId="28" xfId="0" applyNumberFormat="1" applyFont="1" applyBorder="1" applyAlignment="1">
      <alignment/>
    </xf>
    <xf numFmtId="166" fontId="12" fillId="0" borderId="45" xfId="0" applyNumberFormat="1" applyFont="1" applyBorder="1" applyAlignment="1">
      <alignment horizontal="right"/>
    </xf>
    <xf numFmtId="166" fontId="12" fillId="0" borderId="15" xfId="0" applyNumberFormat="1" applyFont="1" applyBorder="1" applyAlignment="1">
      <alignment horizontal="right"/>
    </xf>
    <xf numFmtId="0" fontId="12" fillId="0" borderId="0" xfId="0" applyFont="1" applyAlignment="1">
      <alignment/>
    </xf>
    <xf numFmtId="0" fontId="1" fillId="0" borderId="53" xfId="0" applyFont="1" applyBorder="1" applyAlignment="1">
      <alignment/>
    </xf>
    <xf numFmtId="166" fontId="12" fillId="0" borderId="54" xfId="0" applyNumberFormat="1" applyFont="1" applyBorder="1" applyAlignment="1">
      <alignment horizontal="right"/>
    </xf>
    <xf numFmtId="166" fontId="1" fillId="0" borderId="54" xfId="0" applyNumberFormat="1" applyFont="1" applyBorder="1" applyAlignment="1">
      <alignment horizontal="right"/>
    </xf>
    <xf numFmtId="166" fontId="12" fillId="0" borderId="86" xfId="0" applyNumberFormat="1" applyFont="1" applyBorder="1" applyAlignment="1">
      <alignment/>
    </xf>
    <xf numFmtId="166" fontId="12" fillId="0" borderId="87" xfId="0" applyNumberFormat="1" applyFont="1" applyBorder="1" applyAlignment="1">
      <alignment horizontal="right"/>
    </xf>
    <xf numFmtId="166" fontId="1" fillId="0" borderId="87" xfId="0" applyNumberFormat="1" applyFont="1" applyBorder="1" applyAlignment="1">
      <alignment horizontal="right"/>
    </xf>
    <xf numFmtId="166" fontId="12" fillId="0" borderId="88" xfId="0" applyNumberFormat="1" applyFont="1" applyBorder="1" applyAlignment="1">
      <alignment horizontal="right"/>
    </xf>
    <xf numFmtId="166" fontId="12" fillId="0" borderId="89" xfId="0" applyNumberFormat="1" applyFont="1" applyBorder="1" applyAlignment="1">
      <alignment horizontal="right"/>
    </xf>
    <xf numFmtId="166" fontId="1" fillId="0" borderId="89" xfId="0" applyNumberFormat="1" applyFont="1" applyBorder="1" applyAlignment="1">
      <alignment horizontal="right"/>
    </xf>
    <xf numFmtId="166" fontId="12" fillId="0" borderId="90" xfId="0" applyNumberFormat="1" applyFont="1" applyBorder="1" applyAlignment="1">
      <alignment horizontal="right"/>
    </xf>
    <xf numFmtId="166" fontId="12" fillId="0" borderId="53" xfId="0" applyNumberFormat="1" applyFont="1" applyBorder="1" applyAlignment="1">
      <alignment/>
    </xf>
    <xf numFmtId="166" fontId="12" fillId="0" borderId="54" xfId="0" applyNumberFormat="1" applyFont="1" applyBorder="1" applyAlignment="1">
      <alignment/>
    </xf>
    <xf numFmtId="166" fontId="12" fillId="0" borderId="44" xfId="0" applyNumberFormat="1" applyFont="1" applyBorder="1" applyAlignment="1">
      <alignment horizontal="right"/>
    </xf>
    <xf numFmtId="166" fontId="12" fillId="0" borderId="40" xfId="0" applyNumberFormat="1" applyFont="1" applyBorder="1" applyAlignment="1">
      <alignment horizontal="right"/>
    </xf>
    <xf numFmtId="0" fontId="2" fillId="0" borderId="47" xfId="0" applyFont="1" applyBorder="1" applyAlignment="1">
      <alignment/>
    </xf>
    <xf numFmtId="3" fontId="2" fillId="0" borderId="48" xfId="0" applyNumberFormat="1" applyFont="1" applyBorder="1" applyAlignment="1">
      <alignment/>
    </xf>
    <xf numFmtId="3" fontId="1" fillId="0" borderId="91" xfId="0" applyNumberFormat="1" applyFont="1" applyBorder="1" applyAlignment="1">
      <alignment/>
    </xf>
    <xf numFmtId="3" fontId="2" fillId="0" borderId="43" xfId="0" applyNumberFormat="1" applyFont="1" applyBorder="1" applyAlignment="1">
      <alignment/>
    </xf>
    <xf numFmtId="3" fontId="1" fillId="0" borderId="11" xfId="0" applyNumberFormat="1" applyFont="1" applyBorder="1" applyAlignment="1">
      <alignment/>
    </xf>
    <xf numFmtId="167" fontId="2" fillId="0" borderId="41" xfId="0" applyNumberFormat="1" applyFont="1" applyBorder="1" applyAlignment="1">
      <alignment/>
    </xf>
    <xf numFmtId="177" fontId="2" fillId="0" borderId="42" xfId="0" applyNumberFormat="1" applyFont="1" applyBorder="1" applyAlignment="1">
      <alignment/>
    </xf>
    <xf numFmtId="0" fontId="3" fillId="0" borderId="46" xfId="0" applyFont="1" applyBorder="1" applyAlignment="1">
      <alignment wrapText="1"/>
    </xf>
    <xf numFmtId="0" fontId="3" fillId="0" borderId="30" xfId="0" applyFont="1" applyBorder="1" applyAlignment="1">
      <alignment wrapText="1"/>
    </xf>
    <xf numFmtId="0" fontId="3" fillId="0" borderId="50" xfId="0" applyFont="1" applyBorder="1" applyAlignment="1">
      <alignment wrapText="1"/>
    </xf>
    <xf numFmtId="173" fontId="1" fillId="0" borderId="19" xfId="59" applyNumberFormat="1" applyFont="1" applyBorder="1" applyAlignment="1">
      <alignment horizontal="right"/>
    </xf>
    <xf numFmtId="3" fontId="1" fillId="0" borderId="16" xfId="0" applyNumberFormat="1" applyFont="1" applyBorder="1" applyAlignment="1">
      <alignment horizontal="right"/>
    </xf>
    <xf numFmtId="3" fontId="2" fillId="0" borderId="89" xfId="0" applyNumberFormat="1" applyFont="1" applyBorder="1" applyAlignment="1">
      <alignment/>
    </xf>
    <xf numFmtId="3" fontId="2" fillId="0" borderId="90" xfId="0" applyNumberFormat="1" applyFont="1" applyBorder="1" applyAlignment="1">
      <alignment/>
    </xf>
    <xf numFmtId="0" fontId="1" fillId="0" borderId="47" xfId="0" applyFont="1" applyBorder="1" applyAlignment="1">
      <alignment/>
    </xf>
    <xf numFmtId="1" fontId="23" fillId="0" borderId="0" xfId="0" applyNumberFormat="1" applyFont="1" applyBorder="1" applyAlignment="1">
      <alignment/>
    </xf>
    <xf numFmtId="1" fontId="1" fillId="0" borderId="0" xfId="0" applyNumberFormat="1" applyFont="1" applyBorder="1" applyAlignment="1">
      <alignment/>
    </xf>
    <xf numFmtId="0" fontId="12" fillId="35" borderId="41" xfId="0" applyFont="1" applyFill="1" applyBorder="1" applyAlignment="1">
      <alignment horizontal="center"/>
    </xf>
    <xf numFmtId="3" fontId="32" fillId="0" borderId="0" xfId="0" applyNumberFormat="1" applyFont="1" applyAlignment="1">
      <alignment/>
    </xf>
    <xf numFmtId="3" fontId="1" fillId="0" borderId="92" xfId="0" applyNumberFormat="1" applyFont="1" applyBorder="1" applyAlignment="1">
      <alignment/>
    </xf>
    <xf numFmtId="3" fontId="1" fillId="0" borderId="93" xfId="0" applyNumberFormat="1" applyFont="1" applyBorder="1" applyAlignment="1">
      <alignment/>
    </xf>
    <xf numFmtId="3" fontId="1" fillId="0" borderId="94" xfId="0" applyNumberFormat="1" applyFont="1" applyBorder="1" applyAlignment="1">
      <alignment/>
    </xf>
    <xf numFmtId="0" fontId="3" fillId="35" borderId="46" xfId="0" applyFont="1" applyFill="1" applyBorder="1" applyAlignment="1">
      <alignment/>
    </xf>
    <xf numFmtId="0" fontId="3" fillId="35" borderId="30" xfId="0" applyFont="1" applyFill="1" applyBorder="1" applyAlignment="1">
      <alignment/>
    </xf>
    <xf numFmtId="0" fontId="3" fillId="35" borderId="50" xfId="0" applyFont="1" applyFill="1" applyBorder="1" applyAlignment="1">
      <alignment/>
    </xf>
    <xf numFmtId="3" fontId="1" fillId="0" borderId="48" xfId="0" applyNumberFormat="1" applyFont="1" applyBorder="1" applyAlignment="1">
      <alignment/>
    </xf>
    <xf numFmtId="0" fontId="2" fillId="0" borderId="43" xfId="0" applyFont="1" applyBorder="1" applyAlignment="1">
      <alignment/>
    </xf>
    <xf numFmtId="167" fontId="1" fillId="0" borderId="94" xfId="0" applyNumberFormat="1" applyFont="1" applyBorder="1" applyAlignment="1">
      <alignment/>
    </xf>
    <xf numFmtId="3" fontId="1" fillId="0" borderId="95" xfId="0" applyNumberFormat="1" applyFont="1" applyBorder="1" applyAlignment="1">
      <alignment/>
    </xf>
    <xf numFmtId="9" fontId="1" fillId="0" borderId="0" xfId="0" applyNumberFormat="1" applyFont="1" applyBorder="1" applyAlignment="1">
      <alignment/>
    </xf>
    <xf numFmtId="167" fontId="1" fillId="0" borderId="0" xfId="0" applyNumberFormat="1" applyFont="1" applyBorder="1" applyAlignment="1">
      <alignment/>
    </xf>
    <xf numFmtId="166" fontId="1" fillId="0" borderId="0" xfId="0" applyNumberFormat="1" applyFont="1" applyBorder="1" applyAlignment="1">
      <alignment/>
    </xf>
    <xf numFmtId="0" fontId="2" fillId="35" borderId="30" xfId="0" applyFont="1" applyFill="1" applyBorder="1" applyAlignment="1">
      <alignment horizontal="center"/>
    </xf>
    <xf numFmtId="3" fontId="32" fillId="0" borderId="0" xfId="0" applyNumberFormat="1" applyFont="1" applyBorder="1" applyAlignment="1">
      <alignment horizontal="right"/>
    </xf>
    <xf numFmtId="0" fontId="32" fillId="0" borderId="0" xfId="0" applyFont="1" applyBorder="1" applyAlignment="1">
      <alignment/>
    </xf>
    <xf numFmtId="3" fontId="1" fillId="0" borderId="43" xfId="0" applyNumberFormat="1" applyFont="1" applyBorder="1" applyAlignment="1">
      <alignment/>
    </xf>
    <xf numFmtId="3" fontId="1" fillId="35" borderId="94" xfId="0" applyNumberFormat="1" applyFont="1" applyFill="1" applyBorder="1" applyAlignment="1">
      <alignment/>
    </xf>
    <xf numFmtId="0" fontId="23" fillId="0" borderId="36" xfId="0" applyFont="1" applyBorder="1" applyAlignment="1">
      <alignment/>
    </xf>
    <xf numFmtId="3" fontId="23" fillId="0" borderId="36" xfId="0" applyNumberFormat="1" applyFont="1" applyBorder="1" applyAlignment="1">
      <alignment/>
    </xf>
    <xf numFmtId="3" fontId="30" fillId="0" borderId="36" xfId="0" applyNumberFormat="1" applyFont="1" applyBorder="1" applyAlignment="1">
      <alignment/>
    </xf>
    <xf numFmtId="0" fontId="1" fillId="0" borderId="36" xfId="0" applyFont="1" applyBorder="1" applyAlignment="1">
      <alignment horizontal="left"/>
    </xf>
    <xf numFmtId="3" fontId="1" fillId="0" borderId="36" xfId="0" applyNumberFormat="1" applyFont="1" applyBorder="1" applyAlignment="1">
      <alignment/>
    </xf>
    <xf numFmtId="166" fontId="2" fillId="0" borderId="58" xfId="0" applyNumberFormat="1" applyFont="1" applyBorder="1" applyAlignment="1">
      <alignment/>
    </xf>
    <xf numFmtId="166" fontId="2" fillId="0" borderId="37" xfId="0" applyNumberFormat="1" applyFont="1" applyBorder="1" applyAlignment="1">
      <alignment/>
    </xf>
    <xf numFmtId="166" fontId="1" fillId="0" borderId="48" xfId="0" applyNumberFormat="1" applyFont="1" applyBorder="1" applyAlignment="1">
      <alignment horizontal="right"/>
    </xf>
    <xf numFmtId="3" fontId="29" fillId="0" borderId="36" xfId="0" applyNumberFormat="1" applyFont="1" applyBorder="1" applyAlignment="1">
      <alignment/>
    </xf>
    <xf numFmtId="3" fontId="23" fillId="0" borderId="36" xfId="0" applyNumberFormat="1" applyFont="1" applyBorder="1" applyAlignment="1">
      <alignment horizontal="right"/>
    </xf>
    <xf numFmtId="0" fontId="12" fillId="35" borderId="43" xfId="0" applyNumberFormat="1" applyFont="1" applyFill="1" applyBorder="1" applyAlignment="1">
      <alignment/>
    </xf>
    <xf numFmtId="3" fontId="1" fillId="0" borderId="48" xfId="0" applyNumberFormat="1" applyFont="1" applyBorder="1" applyAlignment="1">
      <alignment horizontal="right"/>
    </xf>
    <xf numFmtId="3" fontId="2" fillId="0" borderId="30" xfId="0" applyNumberFormat="1" applyFont="1" applyBorder="1" applyAlignment="1">
      <alignment horizontal="right"/>
    </xf>
    <xf numFmtId="3" fontId="2" fillId="35" borderId="30" xfId="0" applyNumberFormat="1" applyFont="1" applyFill="1" applyBorder="1" applyAlignment="1">
      <alignment/>
    </xf>
    <xf numFmtId="3" fontId="3" fillId="0" borderId="0" xfId="0" applyNumberFormat="1" applyFont="1" applyBorder="1" applyAlignment="1">
      <alignment horizontal="right"/>
    </xf>
    <xf numFmtId="3" fontId="1" fillId="0" borderId="73" xfId="0" applyNumberFormat="1" applyFont="1" applyBorder="1" applyAlignment="1">
      <alignment/>
    </xf>
    <xf numFmtId="3" fontId="1" fillId="0" borderId="84" xfId="0" applyNumberFormat="1" applyFont="1" applyBorder="1" applyAlignment="1">
      <alignment horizontal="right"/>
    </xf>
    <xf numFmtId="3" fontId="12" fillId="0" borderId="36" xfId="0" applyNumberFormat="1" applyFont="1" applyFill="1" applyBorder="1" applyAlignment="1">
      <alignment horizontal="left"/>
    </xf>
    <xf numFmtId="1" fontId="1" fillId="0" borderId="36" xfId="0" applyNumberFormat="1" applyFont="1" applyBorder="1" applyAlignment="1">
      <alignment/>
    </xf>
    <xf numFmtId="1" fontId="1" fillId="0" borderId="36" xfId="0" applyNumberFormat="1" applyFont="1" applyBorder="1" applyAlignment="1">
      <alignment horizontal="right"/>
    </xf>
    <xf numFmtId="0" fontId="29" fillId="0" borderId="0" xfId="0" applyFont="1" applyBorder="1" applyAlignment="1">
      <alignment/>
    </xf>
    <xf numFmtId="0" fontId="30" fillId="0" borderId="0" xfId="0" applyFont="1" applyBorder="1" applyAlignment="1">
      <alignment/>
    </xf>
    <xf numFmtId="3" fontId="1" fillId="0" borderId="36" xfId="0" applyNumberFormat="1" applyFont="1" applyFill="1" applyBorder="1" applyAlignment="1">
      <alignment/>
    </xf>
    <xf numFmtId="0" fontId="31" fillId="0" borderId="0" xfId="0" applyFont="1" applyBorder="1" applyAlignment="1">
      <alignment/>
    </xf>
    <xf numFmtId="0" fontId="12" fillId="35" borderId="48" xfId="0" applyNumberFormat="1" applyFont="1" applyFill="1" applyBorder="1" applyAlignment="1">
      <alignment/>
    </xf>
    <xf numFmtId="3" fontId="1" fillId="0" borderId="42" xfId="0" applyNumberFormat="1" applyFont="1" applyBorder="1" applyAlignment="1">
      <alignment horizontal="left"/>
    </xf>
    <xf numFmtId="3" fontId="3" fillId="0" borderId="0" xfId="0" applyNumberFormat="1" applyFont="1" applyBorder="1" applyAlignment="1">
      <alignment/>
    </xf>
    <xf numFmtId="49" fontId="12" fillId="0" borderId="0" xfId="0" applyNumberFormat="1" applyFont="1" applyBorder="1" applyAlignment="1">
      <alignment horizontal="center"/>
    </xf>
    <xf numFmtId="3" fontId="1" fillId="0" borderId="85" xfId="0" applyNumberFormat="1" applyFont="1" applyBorder="1" applyAlignment="1">
      <alignment horizontal="right"/>
    </xf>
    <xf numFmtId="3" fontId="1" fillId="0" borderId="57" xfId="0" applyNumberFormat="1" applyFont="1" applyBorder="1" applyAlignment="1">
      <alignment horizontal="right"/>
    </xf>
    <xf numFmtId="3" fontId="1" fillId="0" borderId="0" xfId="0" applyNumberFormat="1" applyFont="1" applyAlignment="1" quotePrefix="1">
      <alignment horizontal="left"/>
    </xf>
    <xf numFmtId="166" fontId="2" fillId="0" borderId="96" xfId="0" applyNumberFormat="1" applyFont="1" applyBorder="1" applyAlignment="1">
      <alignment horizontal="center"/>
    </xf>
    <xf numFmtId="3" fontId="2" fillId="0" borderId="97" xfId="0" applyNumberFormat="1" applyFont="1" applyBorder="1" applyAlignment="1">
      <alignment/>
    </xf>
    <xf numFmtId="3" fontId="2" fillId="0" borderId="98" xfId="0" applyNumberFormat="1" applyFont="1" applyBorder="1" applyAlignment="1">
      <alignment/>
    </xf>
    <xf numFmtId="3" fontId="2" fillId="0" borderId="96" xfId="0" applyNumberFormat="1" applyFont="1" applyBorder="1" applyAlignment="1">
      <alignment/>
    </xf>
    <xf numFmtId="3" fontId="2" fillId="0" borderId="99" xfId="0" applyNumberFormat="1" applyFont="1" applyBorder="1" applyAlignment="1">
      <alignment/>
    </xf>
    <xf numFmtId="49" fontId="12" fillId="0" borderId="10" xfId="0" applyNumberFormat="1" applyFont="1" applyBorder="1" applyAlignment="1">
      <alignment horizontal="center"/>
    </xf>
    <xf numFmtId="0" fontId="0" fillId="0" borderId="0" xfId="0" applyFont="1" applyAlignment="1">
      <alignment horizontal="center"/>
    </xf>
    <xf numFmtId="0" fontId="12" fillId="0" borderId="44" xfId="0" applyFont="1" applyBorder="1" applyAlignment="1">
      <alignment/>
    </xf>
    <xf numFmtId="0" fontId="0" fillId="0" borderId="0" xfId="0" applyFont="1" applyBorder="1" applyAlignment="1">
      <alignment/>
    </xf>
    <xf numFmtId="3" fontId="2" fillId="35" borderId="54" xfId="0" applyNumberFormat="1" applyFont="1" applyFill="1" applyBorder="1" applyAlignment="1">
      <alignment horizontal="left"/>
    </xf>
    <xf numFmtId="166" fontId="2" fillId="35" borderId="30" xfId="0" applyNumberFormat="1" applyFont="1" applyFill="1" applyBorder="1" applyAlignment="1">
      <alignment horizontal="center"/>
    </xf>
    <xf numFmtId="3" fontId="2" fillId="0" borderId="35" xfId="0" applyNumberFormat="1" applyFont="1" applyBorder="1" applyAlignment="1">
      <alignment/>
    </xf>
    <xf numFmtId="3" fontId="1" fillId="0" borderId="53" xfId="0" applyNumberFormat="1" applyFont="1" applyBorder="1" applyAlignment="1">
      <alignment horizontal="right"/>
    </xf>
    <xf numFmtId="173" fontId="1" fillId="0" borderId="44" xfId="59" applyNumberFormat="1" applyFont="1" applyBorder="1" applyAlignment="1">
      <alignment horizontal="right"/>
    </xf>
    <xf numFmtId="3" fontId="2" fillId="0" borderId="92" xfId="0" applyNumberFormat="1" applyFont="1" applyFill="1" applyBorder="1" applyAlignment="1">
      <alignment/>
    </xf>
    <xf numFmtId="3" fontId="2" fillId="0" borderId="11" xfId="0" applyNumberFormat="1" applyFont="1" applyFill="1" applyBorder="1" applyAlignment="1">
      <alignment/>
    </xf>
    <xf numFmtId="0" fontId="2" fillId="35" borderId="30" xfId="0" applyFont="1" applyFill="1" applyBorder="1" applyAlignment="1">
      <alignment/>
    </xf>
    <xf numFmtId="0" fontId="2" fillId="35" borderId="50" xfId="0" applyFont="1" applyFill="1" applyBorder="1" applyAlignment="1">
      <alignment/>
    </xf>
    <xf numFmtId="0" fontId="1" fillId="0" borderId="36" xfId="0" applyNumberFormat="1" applyFont="1" applyBorder="1" applyAlignment="1">
      <alignment horizontal="right"/>
    </xf>
    <xf numFmtId="3" fontId="1" fillId="35" borderId="94" xfId="0" applyNumberFormat="1" applyFont="1" applyFill="1" applyBorder="1" applyAlignment="1">
      <alignment horizontal="center"/>
    </xf>
    <xf numFmtId="3" fontId="1" fillId="35" borderId="94" xfId="0" applyNumberFormat="1" applyFont="1" applyFill="1" applyBorder="1" applyAlignment="1">
      <alignment horizontal="center" wrapText="1"/>
    </xf>
    <xf numFmtId="2" fontId="1" fillId="0" borderId="0" xfId="0" applyNumberFormat="1" applyFont="1" applyBorder="1" applyAlignment="1">
      <alignment/>
    </xf>
    <xf numFmtId="2" fontId="2" fillId="0" borderId="0" xfId="0" applyNumberFormat="1" applyFont="1" applyBorder="1" applyAlignment="1">
      <alignment/>
    </xf>
    <xf numFmtId="0" fontId="2" fillId="35" borderId="46" xfId="0" applyFont="1" applyFill="1" applyBorder="1" applyAlignment="1">
      <alignment horizontal="center" wrapText="1"/>
    </xf>
    <xf numFmtId="0" fontId="2" fillId="35" borderId="30" xfId="0" applyFont="1" applyFill="1" applyBorder="1" applyAlignment="1">
      <alignment horizontal="center" wrapText="1"/>
    </xf>
    <xf numFmtId="0" fontId="2" fillId="35" borderId="50" xfId="0" applyFont="1" applyFill="1" applyBorder="1" applyAlignment="1">
      <alignment horizontal="center" wrapText="1"/>
    </xf>
    <xf numFmtId="0" fontId="2" fillId="35" borderId="35" xfId="0" applyFont="1" applyFill="1" applyBorder="1" applyAlignment="1">
      <alignment horizontal="center" wrapText="1"/>
    </xf>
    <xf numFmtId="0" fontId="2" fillId="35" borderId="0" xfId="0" applyFont="1" applyFill="1" applyBorder="1" applyAlignment="1">
      <alignment horizontal="center" wrapText="1"/>
    </xf>
    <xf numFmtId="0" fontId="2" fillId="35" borderId="37" xfId="0" applyFont="1" applyFill="1" applyBorder="1" applyAlignment="1">
      <alignment horizontal="center" wrapText="1"/>
    </xf>
    <xf numFmtId="0" fontId="2" fillId="35" borderId="46" xfId="0" applyFont="1" applyFill="1" applyBorder="1" applyAlignment="1">
      <alignment horizontal="center"/>
    </xf>
    <xf numFmtId="0" fontId="2" fillId="35" borderId="30" xfId="0" applyFont="1" applyFill="1" applyBorder="1" applyAlignment="1">
      <alignment horizontal="center"/>
    </xf>
    <xf numFmtId="0" fontId="2" fillId="35" borderId="50" xfId="0" applyFont="1" applyFill="1" applyBorder="1" applyAlignment="1">
      <alignment horizontal="center"/>
    </xf>
    <xf numFmtId="166" fontId="2" fillId="35" borderId="46" xfId="0" applyNumberFormat="1" applyFont="1" applyFill="1" applyBorder="1" applyAlignment="1">
      <alignment horizontal="center"/>
    </xf>
    <xf numFmtId="166" fontId="2" fillId="35" borderId="30" xfId="0" applyNumberFormat="1" applyFont="1" applyFill="1" applyBorder="1" applyAlignment="1">
      <alignment horizontal="center"/>
    </xf>
    <xf numFmtId="166" fontId="2" fillId="35" borderId="50" xfId="0" applyNumberFormat="1" applyFont="1" applyFill="1" applyBorder="1" applyAlignment="1">
      <alignment horizontal="center"/>
    </xf>
    <xf numFmtId="49" fontId="2" fillId="35" borderId="46" xfId="0" applyNumberFormat="1" applyFont="1" applyFill="1" applyBorder="1" applyAlignment="1">
      <alignment horizontal="center"/>
    </xf>
    <xf numFmtId="49" fontId="2" fillId="35" borderId="30" xfId="0" applyNumberFormat="1" applyFont="1" applyFill="1" applyBorder="1" applyAlignment="1">
      <alignment horizontal="center"/>
    </xf>
    <xf numFmtId="49" fontId="2" fillId="35" borderId="50" xfId="0" applyNumberFormat="1" applyFont="1" applyFill="1" applyBorder="1" applyAlignment="1">
      <alignment horizontal="center"/>
    </xf>
    <xf numFmtId="49" fontId="2" fillId="35" borderId="75" xfId="0" applyNumberFormat="1" applyFont="1" applyFill="1" applyBorder="1" applyAlignment="1">
      <alignment horizontal="center" wrapText="1"/>
    </xf>
    <xf numFmtId="49" fontId="2" fillId="35" borderId="30" xfId="0" applyNumberFormat="1" applyFont="1" applyFill="1" applyBorder="1" applyAlignment="1">
      <alignment horizontal="center" wrapText="1"/>
    </xf>
    <xf numFmtId="49" fontId="2" fillId="35" borderId="50" xfId="0" applyNumberFormat="1" applyFont="1" applyFill="1" applyBorder="1" applyAlignment="1">
      <alignment horizontal="center" wrapText="1"/>
    </xf>
    <xf numFmtId="166" fontId="2" fillId="35" borderId="46" xfId="0" applyNumberFormat="1" applyFont="1" applyFill="1" applyBorder="1" applyAlignment="1">
      <alignment horizontal="center" wrapText="1"/>
    </xf>
    <xf numFmtId="166" fontId="2" fillId="35" borderId="30" xfId="0" applyNumberFormat="1" applyFont="1" applyFill="1" applyBorder="1" applyAlignment="1">
      <alignment horizontal="center" wrapText="1"/>
    </xf>
    <xf numFmtId="166" fontId="2" fillId="35" borderId="50" xfId="0" applyNumberFormat="1" applyFont="1" applyFill="1" applyBorder="1" applyAlignment="1">
      <alignment horizontal="center" wrapText="1"/>
    </xf>
    <xf numFmtId="49" fontId="2" fillId="35" borderId="75" xfId="0" applyNumberFormat="1" applyFont="1" applyFill="1" applyBorder="1" applyAlignment="1">
      <alignment horizontal="center"/>
    </xf>
    <xf numFmtId="3" fontId="2" fillId="35" borderId="53" xfId="0" applyNumberFormat="1" applyFont="1" applyFill="1" applyBorder="1" applyAlignment="1">
      <alignment horizontal="left"/>
    </xf>
    <xf numFmtId="3" fontId="2" fillId="35" borderId="54" xfId="0" applyNumberFormat="1" applyFont="1" applyFill="1" applyBorder="1" applyAlignment="1">
      <alignment horizontal="left"/>
    </xf>
    <xf numFmtId="3" fontId="1" fillId="35" borderId="75" xfId="0" applyNumberFormat="1" applyFont="1" applyFill="1" applyBorder="1" applyAlignment="1">
      <alignment horizontal="center" wrapText="1"/>
    </xf>
    <xf numFmtId="3" fontId="1" fillId="35" borderId="30" xfId="0" applyNumberFormat="1" applyFont="1" applyFill="1" applyBorder="1" applyAlignment="1">
      <alignment horizontal="center" wrapText="1"/>
    </xf>
    <xf numFmtId="3" fontId="1" fillId="35" borderId="84" xfId="0" applyNumberFormat="1" applyFont="1" applyFill="1" applyBorder="1" applyAlignment="1">
      <alignment horizontal="center" wrapText="1"/>
    </xf>
    <xf numFmtId="3" fontId="1" fillId="35" borderId="94" xfId="0" applyNumberFormat="1" applyFont="1" applyFill="1" applyBorder="1" applyAlignment="1">
      <alignment horizontal="center"/>
    </xf>
    <xf numFmtId="3" fontId="1" fillId="35" borderId="100" xfId="0" applyNumberFormat="1" applyFont="1" applyFill="1" applyBorder="1" applyAlignment="1">
      <alignment horizontal="center"/>
    </xf>
    <xf numFmtId="3" fontId="1" fillId="35" borderId="69" xfId="0" applyNumberFormat="1" applyFont="1" applyFill="1" applyBorder="1" applyAlignment="1">
      <alignment horizontal="center" wrapText="1"/>
    </xf>
    <xf numFmtId="3" fontId="1" fillId="35" borderId="94" xfId="0" applyNumberFormat="1" applyFont="1" applyFill="1" applyBorder="1" applyAlignment="1">
      <alignment horizontal="center" wrapText="1"/>
    </xf>
    <xf numFmtId="3" fontId="1" fillId="35" borderId="100" xfId="0" applyNumberFormat="1" applyFont="1" applyFill="1" applyBorder="1" applyAlignment="1">
      <alignment horizontal="center" wrapText="1"/>
    </xf>
    <xf numFmtId="49" fontId="2" fillId="35" borderId="46" xfId="0" applyNumberFormat="1" applyFont="1" applyFill="1" applyBorder="1" applyAlignment="1">
      <alignment horizontal="center" wrapText="1"/>
    </xf>
    <xf numFmtId="166" fontId="12" fillId="35" borderId="84" xfId="0" applyNumberFormat="1" applyFont="1" applyFill="1" applyBorder="1" applyAlignment="1">
      <alignment horizontal="center" wrapText="1"/>
    </xf>
    <xf numFmtId="166" fontId="12" fillId="35" borderId="23" xfId="0" applyNumberFormat="1" applyFont="1" applyFill="1" applyBorder="1" applyAlignment="1">
      <alignment horizontal="center" wrapText="1"/>
    </xf>
    <xf numFmtId="3" fontId="2" fillId="35" borderId="46" xfId="0" applyNumberFormat="1" applyFont="1" applyFill="1" applyBorder="1" applyAlignment="1" quotePrefix="1">
      <alignment horizontal="center"/>
    </xf>
    <xf numFmtId="3" fontId="2" fillId="35" borderId="50" xfId="0" applyNumberFormat="1" applyFont="1" applyFill="1" applyBorder="1" applyAlignment="1">
      <alignment horizontal="center"/>
    </xf>
    <xf numFmtId="0" fontId="2" fillId="34" borderId="53" xfId="0" applyFont="1" applyFill="1" applyBorder="1" applyAlignment="1">
      <alignment horizontal="center"/>
    </xf>
    <xf numFmtId="0" fontId="2" fillId="34" borderId="54" xfId="0" applyFont="1" applyFill="1" applyBorder="1" applyAlignment="1">
      <alignment horizontal="center"/>
    </xf>
    <xf numFmtId="0" fontId="2" fillId="34" borderId="86" xfId="0" applyFont="1" applyFill="1" applyBorder="1" applyAlignment="1">
      <alignment horizontal="center"/>
    </xf>
    <xf numFmtId="0" fontId="2" fillId="33" borderId="53" xfId="0" applyFont="1" applyFill="1" applyBorder="1" applyAlignment="1">
      <alignment horizontal="center"/>
    </xf>
    <xf numFmtId="0" fontId="2" fillId="33" borderId="54" xfId="0" applyFont="1" applyFill="1" applyBorder="1" applyAlignment="1">
      <alignment horizontal="center"/>
    </xf>
    <xf numFmtId="0" fontId="2" fillId="33" borderId="86" xfId="0" applyFont="1" applyFill="1" applyBorder="1" applyAlignment="1">
      <alignment horizontal="center"/>
    </xf>
    <xf numFmtId="0" fontId="2" fillId="35" borderId="46" xfId="0" applyNumberFormat="1" applyFont="1" applyFill="1" applyBorder="1" applyAlignment="1" quotePrefix="1">
      <alignment horizontal="center"/>
    </xf>
    <xf numFmtId="0" fontId="2" fillId="35" borderId="50" xfId="0" applyNumberFormat="1" applyFont="1" applyFill="1" applyBorder="1" applyAlignment="1">
      <alignment horizontal="center"/>
    </xf>
    <xf numFmtId="3" fontId="2" fillId="0" borderId="0" xfId="0" applyNumberFormat="1" applyFont="1" applyAlignment="1">
      <alignment horizontal="center"/>
    </xf>
    <xf numFmtId="0" fontId="0" fillId="0" borderId="0" xfId="0" applyFont="1" applyAlignment="1">
      <alignment horizontal="center"/>
    </xf>
    <xf numFmtId="166" fontId="12" fillId="0" borderId="46" xfId="0" applyNumberFormat="1" applyFont="1" applyBorder="1" applyAlignment="1">
      <alignment horizontal="center"/>
    </xf>
    <xf numFmtId="166" fontId="12" fillId="0" borderId="30" xfId="0" applyNumberFormat="1" applyFont="1" applyBorder="1" applyAlignment="1">
      <alignment horizontal="center"/>
    </xf>
    <xf numFmtId="166" fontId="12" fillId="0" borderId="50" xfId="0" applyNumberFormat="1" applyFont="1" applyBorder="1" applyAlignment="1">
      <alignment horizontal="center"/>
    </xf>
    <xf numFmtId="166" fontId="12" fillId="0" borderId="0" xfId="0" applyNumberFormat="1" applyFont="1" applyAlignment="1">
      <alignment horizontal="center"/>
    </xf>
    <xf numFmtId="3" fontId="1" fillId="0" borderId="47" xfId="0" applyNumberFormat="1" applyFont="1" applyBorder="1" applyAlignment="1">
      <alignment/>
    </xf>
    <xf numFmtId="3" fontId="1" fillId="0" borderId="50" xfId="0" applyNumberFormat="1" applyFont="1" applyBorder="1" applyAlignment="1">
      <alignment horizontal="left"/>
    </xf>
    <xf numFmtId="0" fontId="0" fillId="0" borderId="47" xfId="0" applyFont="1" applyBorder="1" applyAlignment="1">
      <alignment/>
    </xf>
    <xf numFmtId="0" fontId="0" fillId="0" borderId="43" xfId="0" applyFont="1" applyBorder="1" applyAlignment="1">
      <alignment/>
    </xf>
    <xf numFmtId="3" fontId="13" fillId="0" borderId="48" xfId="0" applyNumberFormat="1" applyFont="1" applyBorder="1" applyAlignment="1">
      <alignment wrapText="1"/>
    </xf>
    <xf numFmtId="3" fontId="1" fillId="35" borderId="101" xfId="0" applyNumberFormat="1" applyFont="1" applyFill="1" applyBorder="1" applyAlignment="1">
      <alignment horizontal="center" wrapText="1"/>
    </xf>
    <xf numFmtId="3" fontId="1" fillId="35" borderId="0" xfId="0" applyNumberFormat="1" applyFont="1" applyFill="1" applyBorder="1" applyAlignment="1">
      <alignment horizontal="center" wrapText="1"/>
    </xf>
    <xf numFmtId="3" fontId="1" fillId="35" borderId="36" xfId="0" applyNumberFormat="1" applyFont="1" applyFill="1" applyBorder="1" applyAlignment="1">
      <alignment horizontal="center" wrapText="1"/>
    </xf>
    <xf numFmtId="3" fontId="1" fillId="35" borderId="52" xfId="0" applyNumberFormat="1" applyFont="1" applyFill="1" applyBorder="1" applyAlignment="1">
      <alignment horizontal="center" wrapText="1"/>
    </xf>
    <xf numFmtId="3" fontId="1" fillId="35" borderId="35" xfId="0" applyNumberFormat="1" applyFont="1" applyFill="1" applyBorder="1" applyAlignment="1">
      <alignment horizontal="center" wrapText="1"/>
    </xf>
    <xf numFmtId="3" fontId="1" fillId="35" borderId="50" xfId="0" applyNumberFormat="1" applyFont="1" applyFill="1" applyBorder="1" applyAlignment="1">
      <alignment horizontal="center" wrapText="1"/>
    </xf>
    <xf numFmtId="0" fontId="1" fillId="0" borderId="0" xfId="0" applyFont="1" applyBorder="1" applyAlignment="1">
      <alignment wrapText="1"/>
    </xf>
    <xf numFmtId="2" fontId="1" fillId="0" borderId="0" xfId="0" applyNumberFormat="1" applyFont="1" applyBorder="1" applyAlignment="1">
      <alignment wrapText="1"/>
    </xf>
    <xf numFmtId="0" fontId="0" fillId="0" borderId="0" xfId="0" applyFont="1" applyAlignment="1">
      <alignment wrapText="1"/>
    </xf>
    <xf numFmtId="0" fontId="12" fillId="35" borderId="102" xfId="0" applyNumberFormat="1" applyFont="1" applyFill="1" applyBorder="1" applyAlignment="1">
      <alignment horizontal="center"/>
    </xf>
    <xf numFmtId="0" fontId="1" fillId="0" borderId="0" xfId="0" applyFont="1" applyBorder="1" applyAlignment="1">
      <alignment horizontal="center"/>
    </xf>
    <xf numFmtId="2" fontId="1" fillId="0" borderId="0" xfId="0" applyNumberFormat="1" applyFont="1" applyBorder="1" applyAlignment="1">
      <alignment horizontal="center"/>
    </xf>
    <xf numFmtId="3" fontId="1" fillId="0" borderId="101" xfId="0" applyNumberFormat="1" applyFont="1" applyBorder="1" applyAlignment="1">
      <alignment horizontal="right"/>
    </xf>
    <xf numFmtId="0" fontId="0" fillId="0" borderId="0" xfId="0" applyFont="1" applyBorder="1" applyAlignment="1">
      <alignment horizontal="right"/>
    </xf>
    <xf numFmtId="0" fontId="0" fillId="0" borderId="36" xfId="0" applyFont="1" applyBorder="1" applyAlignment="1">
      <alignment/>
    </xf>
    <xf numFmtId="0" fontId="1" fillId="0" borderId="101" xfId="0" applyFont="1" applyBorder="1" applyAlignment="1">
      <alignment/>
    </xf>
    <xf numFmtId="2" fontId="0" fillId="0" borderId="0" xfId="0" applyNumberFormat="1" applyFont="1" applyAlignment="1">
      <alignment/>
    </xf>
    <xf numFmtId="3" fontId="23" fillId="0" borderId="101" xfId="0" applyNumberFormat="1" applyFont="1" applyBorder="1" applyAlignment="1">
      <alignment/>
    </xf>
    <xf numFmtId="0" fontId="0" fillId="0" borderId="101" xfId="0" applyFont="1" applyBorder="1" applyAlignment="1">
      <alignment/>
    </xf>
    <xf numFmtId="3" fontId="0" fillId="0" borderId="0" xfId="0" applyNumberFormat="1" applyFont="1" applyAlignment="1">
      <alignment/>
    </xf>
    <xf numFmtId="0" fontId="23" fillId="0" borderId="101" xfId="0" applyFont="1" applyBorder="1" applyAlignment="1">
      <alignment/>
    </xf>
    <xf numFmtId="3" fontId="30" fillId="0" borderId="101" xfId="0" applyNumberFormat="1" applyFont="1" applyBorder="1" applyAlignment="1">
      <alignment/>
    </xf>
    <xf numFmtId="3" fontId="0" fillId="0" borderId="0" xfId="0" applyNumberFormat="1" applyFont="1" applyBorder="1" applyAlignment="1">
      <alignment/>
    </xf>
    <xf numFmtId="2" fontId="3" fillId="0" borderId="0" xfId="0" applyNumberFormat="1" applyFont="1" applyBorder="1" applyAlignment="1">
      <alignment/>
    </xf>
    <xf numFmtId="3" fontId="29" fillId="0" borderId="0" xfId="0" applyNumberFormat="1" applyFont="1" applyBorder="1" applyAlignment="1">
      <alignment/>
    </xf>
    <xf numFmtId="3" fontId="1" fillId="0" borderId="101" xfId="0" applyNumberFormat="1" applyFont="1" applyBorder="1" applyAlignment="1">
      <alignment/>
    </xf>
    <xf numFmtId="3" fontId="12" fillId="0" borderId="101" xfId="0" applyNumberFormat="1" applyFont="1" applyFill="1" applyBorder="1" applyAlignment="1">
      <alignment horizontal="left"/>
    </xf>
    <xf numFmtId="3" fontId="1" fillId="0" borderId="48" xfId="0" applyNumberFormat="1" applyFont="1" applyBorder="1" applyAlignment="1">
      <alignment horizontal="left"/>
    </xf>
    <xf numFmtId="3" fontId="1" fillId="35" borderId="93" xfId="0" applyNumberFormat="1" applyFont="1" applyFill="1" applyBorder="1" applyAlignment="1">
      <alignment horizontal="center" wrapText="1"/>
    </xf>
    <xf numFmtId="3" fontId="1" fillId="35" borderId="0" xfId="0" applyNumberFormat="1" applyFont="1" applyFill="1" applyBorder="1" applyAlignment="1">
      <alignment horizontal="center" wrapText="1"/>
    </xf>
    <xf numFmtId="3" fontId="1" fillId="35" borderId="35" xfId="0" applyNumberFormat="1" applyFont="1" applyFill="1" applyBorder="1" applyAlignment="1">
      <alignment horizontal="center"/>
    </xf>
    <xf numFmtId="3" fontId="1" fillId="35" borderId="0" xfId="0" applyNumberFormat="1" applyFont="1" applyFill="1" applyBorder="1" applyAlignment="1">
      <alignment horizontal="center"/>
    </xf>
    <xf numFmtId="3" fontId="1" fillId="35" borderId="36" xfId="0" applyNumberFormat="1" applyFont="1" applyFill="1" applyBorder="1" applyAlignment="1">
      <alignment horizontal="center"/>
    </xf>
    <xf numFmtId="3" fontId="1" fillId="35" borderId="0" xfId="0" applyNumberFormat="1" applyFont="1" applyFill="1" applyBorder="1" applyAlignment="1">
      <alignment horizontal="center"/>
    </xf>
    <xf numFmtId="3" fontId="1" fillId="35" borderId="84" xfId="0" applyNumberFormat="1" applyFont="1" applyFill="1" applyBorder="1" applyAlignment="1">
      <alignment/>
    </xf>
    <xf numFmtId="3" fontId="1" fillId="35" borderId="75" xfId="0" applyNumberFormat="1" applyFont="1" applyFill="1" applyBorder="1" applyAlignment="1">
      <alignment horizontal="center"/>
    </xf>
    <xf numFmtId="3" fontId="1" fillId="35" borderId="30" xfId="0" applyNumberFormat="1" applyFont="1" applyFill="1" applyBorder="1" applyAlignment="1">
      <alignment horizontal="center"/>
    </xf>
    <xf numFmtId="3" fontId="1" fillId="35" borderId="84" xfId="0" applyNumberFormat="1" applyFont="1" applyFill="1" applyBorder="1" applyAlignment="1">
      <alignment horizontal="center"/>
    </xf>
    <xf numFmtId="3" fontId="1" fillId="35" borderId="30" xfId="0" applyNumberFormat="1" applyFont="1" applyFill="1" applyBorder="1" applyAlignment="1">
      <alignment horizontal="center"/>
    </xf>
    <xf numFmtId="3" fontId="12" fillId="35" borderId="43" xfId="0" applyNumberFormat="1" applyFont="1" applyFill="1" applyBorder="1" applyAlignment="1">
      <alignment horizontal="center"/>
    </xf>
    <xf numFmtId="3" fontId="1" fillId="0" borderId="75" xfId="0" applyNumberFormat="1" applyFont="1" applyBorder="1" applyAlignment="1">
      <alignment horizontal="right"/>
    </xf>
    <xf numFmtId="3" fontId="1" fillId="0" borderId="101" xfId="0" applyNumberFormat="1" applyFont="1" applyFill="1" applyBorder="1" applyAlignment="1">
      <alignment/>
    </xf>
    <xf numFmtId="3" fontId="1" fillId="0" borderId="101" xfId="0" applyNumberFormat="1" applyFont="1" applyFill="1" applyBorder="1" applyAlignment="1">
      <alignment horizontal="right"/>
    </xf>
    <xf numFmtId="3" fontId="1" fillId="0" borderId="38" xfId="0" applyNumberFormat="1" applyFont="1" applyBorder="1" applyAlignment="1">
      <alignment/>
    </xf>
    <xf numFmtId="3" fontId="1" fillId="0" borderId="72" xfId="0" applyNumberFormat="1" applyFont="1" applyBorder="1" applyAlignment="1">
      <alignment/>
    </xf>
    <xf numFmtId="3" fontId="1" fillId="0" borderId="38" xfId="0" applyNumberFormat="1" applyFont="1" applyBorder="1" applyAlignment="1">
      <alignment horizontal="right"/>
    </xf>
    <xf numFmtId="0" fontId="1" fillId="0" borderId="38" xfId="0" applyFont="1" applyBorder="1" applyAlignment="1">
      <alignment/>
    </xf>
    <xf numFmtId="0" fontId="0" fillId="0" borderId="0" xfId="0" applyFont="1" applyAlignment="1">
      <alignment horizontal="right"/>
    </xf>
    <xf numFmtId="3" fontId="1" fillId="35" borderId="53" xfId="0" applyNumberFormat="1" applyFont="1" applyFill="1" applyBorder="1" applyAlignment="1">
      <alignment horizontal="center"/>
    </xf>
    <xf numFmtId="3" fontId="1" fillId="35" borderId="54" xfId="0" applyNumberFormat="1" applyFont="1" applyFill="1" applyBorder="1" applyAlignment="1">
      <alignment horizontal="center"/>
    </xf>
    <xf numFmtId="0" fontId="0" fillId="0" borderId="35" xfId="0" applyFont="1" applyBorder="1" applyAlignment="1">
      <alignment/>
    </xf>
    <xf numFmtId="0" fontId="12" fillId="35" borderId="22" xfId="0" applyNumberFormat="1" applyFont="1" applyFill="1" applyBorder="1" applyAlignment="1">
      <alignment horizontal="center"/>
    </xf>
    <xf numFmtId="0" fontId="12" fillId="35" borderId="52" xfId="0" applyNumberFormat="1" applyFont="1" applyFill="1" applyBorder="1" applyAlignment="1">
      <alignment horizontal="center"/>
    </xf>
    <xf numFmtId="0" fontId="12" fillId="35" borderId="26" xfId="0" applyNumberFormat="1" applyFont="1" applyFill="1" applyBorder="1" applyAlignment="1">
      <alignment horizontal="center"/>
    </xf>
    <xf numFmtId="3" fontId="50" fillId="0" borderId="46" xfId="0" applyNumberFormat="1" applyFont="1" applyBorder="1" applyAlignment="1">
      <alignment/>
    </xf>
    <xf numFmtId="3" fontId="50" fillId="0" borderId="30" xfId="0" applyNumberFormat="1" applyFont="1" applyBorder="1" applyAlignment="1">
      <alignment/>
    </xf>
    <xf numFmtId="0" fontId="50" fillId="0" borderId="30" xfId="0" applyFont="1" applyBorder="1" applyAlignment="1">
      <alignment/>
    </xf>
    <xf numFmtId="3" fontId="50" fillId="0" borderId="35" xfId="0" applyNumberFormat="1" applyFont="1" applyBorder="1" applyAlignment="1">
      <alignment/>
    </xf>
    <xf numFmtId="3" fontId="50" fillId="0" borderId="0" xfId="0" applyNumberFormat="1" applyFont="1" applyBorder="1" applyAlignment="1">
      <alignment/>
    </xf>
    <xf numFmtId="0" fontId="50" fillId="0" borderId="35" xfId="0" applyFont="1" applyBorder="1" applyAlignment="1">
      <alignment/>
    </xf>
    <xf numFmtId="0" fontId="50" fillId="0" borderId="0" xfId="0" applyFont="1" applyBorder="1" applyAlignment="1">
      <alignment/>
    </xf>
    <xf numFmtId="3" fontId="51" fillId="0" borderId="35" xfId="0" applyNumberFormat="1" applyFont="1" applyBorder="1" applyAlignment="1">
      <alignment/>
    </xf>
    <xf numFmtId="3" fontId="51" fillId="0" borderId="0" xfId="0" applyNumberFormat="1" applyFont="1" applyBorder="1" applyAlignment="1">
      <alignment/>
    </xf>
    <xf numFmtId="3" fontId="50" fillId="0" borderId="35" xfId="0" applyNumberFormat="1" applyFont="1" applyFill="1" applyBorder="1" applyAlignment="1">
      <alignment/>
    </xf>
    <xf numFmtId="3" fontId="51" fillId="0" borderId="47" xfId="0" applyNumberFormat="1" applyFont="1" applyBorder="1" applyAlignment="1">
      <alignment/>
    </xf>
    <xf numFmtId="3" fontId="51" fillId="0" borderId="43" xfId="0" applyNumberFormat="1" applyFont="1" applyBorder="1" applyAlignment="1">
      <alignment/>
    </xf>
    <xf numFmtId="0" fontId="1" fillId="0" borderId="51" xfId="0" applyFont="1" applyFill="1" applyBorder="1" applyAlignment="1">
      <alignment horizontal="left"/>
    </xf>
    <xf numFmtId="3" fontId="51" fillId="0" borderId="46" xfId="0" applyNumberFormat="1" applyFont="1" applyBorder="1" applyAlignment="1">
      <alignment/>
    </xf>
    <xf numFmtId="3" fontId="51" fillId="0" borderId="30" xfId="0" applyNumberFormat="1" applyFont="1" applyBorder="1" applyAlignment="1">
      <alignment/>
    </xf>
    <xf numFmtId="3" fontId="1" fillId="0" borderId="47" xfId="0" applyNumberFormat="1" applyFont="1" applyBorder="1" applyAlignment="1">
      <alignment horizontal="right"/>
    </xf>
    <xf numFmtId="0" fontId="1" fillId="33" borderId="0" xfId="0" applyFont="1" applyFill="1" applyAlignment="1">
      <alignment/>
    </xf>
    <xf numFmtId="9" fontId="12" fillId="0" borderId="0" xfId="0" applyNumberFormat="1" applyFont="1" applyAlignment="1">
      <alignment horizontal="center"/>
    </xf>
    <xf numFmtId="0" fontId="12" fillId="0" borderId="10" xfId="0" applyFont="1" applyBorder="1" applyAlignment="1">
      <alignment horizontal="center"/>
    </xf>
    <xf numFmtId="0" fontId="1" fillId="0" borderId="0" xfId="0" applyFont="1" applyFill="1" applyAlignment="1">
      <alignment horizontal="left"/>
    </xf>
    <xf numFmtId="0" fontId="12" fillId="0" borderId="0" xfId="0" applyFont="1" applyBorder="1" applyAlignment="1">
      <alignment horizontal="center"/>
    </xf>
    <xf numFmtId="167" fontId="1" fillId="0" borderId="44" xfId="0" applyNumberFormat="1" applyFont="1" applyBorder="1" applyAlignment="1">
      <alignment/>
    </xf>
    <xf numFmtId="167" fontId="1" fillId="0" borderId="12" xfId="0" applyNumberFormat="1" applyFont="1" applyBorder="1" applyAlignment="1">
      <alignment/>
    </xf>
    <xf numFmtId="167" fontId="1" fillId="0" borderId="19" xfId="0" applyNumberFormat="1" applyFont="1" applyBorder="1" applyAlignment="1">
      <alignment/>
    </xf>
    <xf numFmtId="3" fontId="1" fillId="0" borderId="44" xfId="0" applyNumberFormat="1" applyFont="1" applyBorder="1" applyAlignment="1">
      <alignment/>
    </xf>
    <xf numFmtId="3" fontId="1" fillId="0" borderId="19" xfId="0" applyNumberFormat="1" applyFont="1" applyBorder="1" applyAlignment="1">
      <alignment/>
    </xf>
    <xf numFmtId="9" fontId="1" fillId="0" borderId="71" xfId="0" applyNumberFormat="1" applyFont="1" applyBorder="1" applyAlignment="1">
      <alignment/>
    </xf>
    <xf numFmtId="9" fontId="1" fillId="0" borderId="13" xfId="0" applyNumberFormat="1" applyFont="1" applyBorder="1" applyAlignment="1">
      <alignment/>
    </xf>
    <xf numFmtId="9" fontId="1" fillId="0" borderId="21" xfId="0" applyNumberFormat="1" applyFont="1" applyBorder="1" applyAlignment="1">
      <alignment/>
    </xf>
    <xf numFmtId="3" fontId="2" fillId="0" borderId="103" xfId="0" applyNumberFormat="1" applyFont="1" applyBorder="1" applyAlignment="1">
      <alignment/>
    </xf>
    <xf numFmtId="3" fontId="2" fillId="0" borderId="60" xfId="0" applyNumberFormat="1" applyFont="1" applyBorder="1" applyAlignment="1">
      <alignment/>
    </xf>
    <xf numFmtId="3" fontId="2" fillId="0" borderId="62" xfId="0" applyNumberFormat="1" applyFont="1" applyBorder="1" applyAlignment="1">
      <alignment/>
    </xf>
    <xf numFmtId="3" fontId="1" fillId="0" borderId="53" xfId="59" applyNumberFormat="1" applyFont="1" applyBorder="1" applyAlignment="1">
      <alignment horizontal="right"/>
    </xf>
    <xf numFmtId="3" fontId="1" fillId="0" borderId="16" xfId="59" applyNumberFormat="1" applyFont="1" applyBorder="1" applyAlignment="1">
      <alignment horizontal="right"/>
    </xf>
    <xf numFmtId="3" fontId="1" fillId="0" borderId="17" xfId="59" applyNumberFormat="1" applyFont="1" applyBorder="1" applyAlignment="1">
      <alignment horizontal="right"/>
    </xf>
    <xf numFmtId="0" fontId="2" fillId="0" borderId="0" xfId="0" applyFont="1" applyAlignment="1">
      <alignment wrapText="1"/>
    </xf>
    <xf numFmtId="0" fontId="1" fillId="0" borderId="93" xfId="0" applyFont="1" applyBorder="1" applyAlignment="1">
      <alignment/>
    </xf>
    <xf numFmtId="0" fontId="1" fillId="0" borderId="92" xfId="0" applyFont="1" applyBorder="1" applyAlignment="1">
      <alignment/>
    </xf>
    <xf numFmtId="167" fontId="1" fillId="0" borderId="11" xfId="0" applyNumberFormat="1" applyFont="1" applyBorder="1" applyAlignment="1">
      <alignment/>
    </xf>
    <xf numFmtId="0" fontId="1" fillId="0" borderId="94" xfId="0" applyFont="1" applyBorder="1" applyAlignment="1">
      <alignment/>
    </xf>
    <xf numFmtId="0" fontId="1" fillId="0" borderId="95" xfId="0" applyFont="1" applyBorder="1" applyAlignment="1">
      <alignment/>
    </xf>
    <xf numFmtId="167" fontId="1" fillId="0" borderId="37" xfId="0" applyNumberFormat="1" applyFont="1" applyBorder="1" applyAlignment="1">
      <alignment/>
    </xf>
    <xf numFmtId="173" fontId="1" fillId="0" borderId="0" xfId="0" applyNumberFormat="1" applyFont="1" applyBorder="1" applyAlignment="1">
      <alignment/>
    </xf>
    <xf numFmtId="173" fontId="1" fillId="0" borderId="37" xfId="0" applyNumberFormat="1" applyFont="1" applyBorder="1" applyAlignment="1">
      <alignment/>
    </xf>
    <xf numFmtId="0" fontId="1" fillId="0" borderId="11" xfId="0" applyFont="1" applyBorder="1" applyAlignment="1">
      <alignment/>
    </xf>
    <xf numFmtId="167" fontId="1" fillId="0" borderId="0" xfId="0" applyNumberFormat="1" applyFont="1" applyBorder="1" applyAlignment="1">
      <alignment horizontal="right"/>
    </xf>
    <xf numFmtId="167" fontId="1" fillId="0" borderId="37" xfId="0" applyNumberFormat="1" applyFont="1" applyBorder="1" applyAlignment="1">
      <alignment horizontal="right"/>
    </xf>
    <xf numFmtId="0" fontId="52" fillId="0" borderId="0" xfId="0" applyFont="1" applyAlignment="1">
      <alignment/>
    </xf>
    <xf numFmtId="0" fontId="53" fillId="0" borderId="0" xfId="0" applyFont="1" applyAlignment="1">
      <alignment/>
    </xf>
    <xf numFmtId="3" fontId="2" fillId="0" borderId="34" xfId="0" applyNumberFormat="1" applyFont="1" applyBorder="1" applyAlignment="1">
      <alignment/>
    </xf>
    <xf numFmtId="3" fontId="2" fillId="0" borderId="74" xfId="0" applyNumberFormat="1" applyFont="1" applyBorder="1" applyAlignment="1">
      <alignment/>
    </xf>
    <xf numFmtId="10" fontId="1" fillId="0" borderId="18" xfId="0" applyNumberFormat="1" applyFont="1" applyBorder="1" applyAlignment="1">
      <alignment/>
    </xf>
    <xf numFmtId="10" fontId="1" fillId="0" borderId="12" xfId="0" applyNumberFormat="1" applyFont="1" applyBorder="1" applyAlignment="1">
      <alignment/>
    </xf>
    <xf numFmtId="10" fontId="1" fillId="0" borderId="19" xfId="0" applyNumberFormat="1" applyFont="1" applyBorder="1" applyAlignment="1">
      <alignment/>
    </xf>
    <xf numFmtId="3" fontId="1" fillId="0" borderId="26" xfId="0" applyNumberFormat="1" applyFont="1" applyBorder="1" applyAlignment="1">
      <alignment/>
    </xf>
    <xf numFmtId="3" fontId="1" fillId="0" borderId="27" xfId="0" applyNumberFormat="1" applyFont="1" applyBorder="1" applyAlignment="1">
      <alignment/>
    </xf>
    <xf numFmtId="3" fontId="1" fillId="0" borderId="28" xfId="0" applyNumberFormat="1" applyFont="1" applyBorder="1" applyAlignment="1">
      <alignment/>
    </xf>
    <xf numFmtId="3" fontId="1" fillId="0" borderId="40" xfId="0" applyNumberFormat="1" applyFont="1" applyBorder="1" applyAlignment="1">
      <alignment/>
    </xf>
    <xf numFmtId="10" fontId="1" fillId="0" borderId="26" xfId="0" applyNumberFormat="1" applyFont="1" applyBorder="1" applyAlignment="1">
      <alignment/>
    </xf>
    <xf numFmtId="10" fontId="1" fillId="0" borderId="27" xfId="0" applyNumberFormat="1" applyFont="1" applyBorder="1" applyAlignment="1">
      <alignment/>
    </xf>
    <xf numFmtId="10" fontId="1" fillId="0" borderId="2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81"/>
  <sheetViews>
    <sheetView tabSelected="1" zoomScalePageLayoutView="0" workbookViewId="0" topLeftCell="A1">
      <selection activeCell="A1" sqref="A1"/>
    </sheetView>
  </sheetViews>
  <sheetFormatPr defaultColWidth="9.140625" defaultRowHeight="12.75"/>
  <cols>
    <col min="1" max="1" width="22.7109375" style="1" customWidth="1"/>
    <col min="2" max="2" width="15.140625" style="1" bestFit="1" customWidth="1"/>
    <col min="3" max="4" width="14.140625" style="1" bestFit="1" customWidth="1"/>
    <col min="5" max="5" width="9.8515625" style="1" bestFit="1" customWidth="1"/>
    <col min="6" max="6" width="13.8515625" style="1" customWidth="1"/>
    <col min="7" max="8" width="9.140625" style="1" customWidth="1"/>
    <col min="9" max="9" width="16.57421875" style="1" customWidth="1"/>
    <col min="10" max="16384" width="9.140625" style="1" customWidth="1"/>
  </cols>
  <sheetData>
    <row r="1" spans="1:5" ht="15.75">
      <c r="A1" s="201" t="s">
        <v>813</v>
      </c>
      <c r="B1" s="151"/>
      <c r="C1" s="151"/>
      <c r="D1" s="151"/>
      <c r="E1" s="151"/>
    </row>
    <row r="2" spans="2:3" ht="12.75">
      <c r="B2" s="38"/>
      <c r="C2" s="38"/>
    </row>
    <row r="3" spans="1:6" ht="14.25" thickBot="1">
      <c r="A3" s="24"/>
      <c r="B3" s="304" t="s">
        <v>627</v>
      </c>
      <c r="C3" s="304" t="s">
        <v>286</v>
      </c>
      <c r="D3" s="304" t="s">
        <v>167</v>
      </c>
      <c r="E3" s="442" t="s">
        <v>153</v>
      </c>
      <c r="F3" s="304" t="s">
        <v>814</v>
      </c>
    </row>
    <row r="4" spans="1:6" ht="12.75">
      <c r="A4" s="305" t="s">
        <v>575</v>
      </c>
      <c r="B4" s="155">
        <f>'Imports-Exports'!DQ154+Fishmeal!C37</f>
        <v>13092011962.184227</v>
      </c>
      <c r="C4" s="156">
        <f>'Imports-Exports'!DQ221</f>
        <v>38325058641.06659</v>
      </c>
      <c r="D4" s="157">
        <f>B4+C4</f>
        <v>51417070603.25082</v>
      </c>
      <c r="E4" s="158">
        <f>D4/D8</f>
        <v>0.9416743926639981</v>
      </c>
      <c r="F4" s="19">
        <f>D4-D18</f>
        <v>2937524384.105797</v>
      </c>
    </row>
    <row r="5" spans="1:6" ht="12.75">
      <c r="A5" s="305" t="s">
        <v>578</v>
      </c>
      <c r="B5" s="159">
        <f>'Discard mortality'!B23</f>
        <v>845714011.2321494</v>
      </c>
      <c r="C5" s="122" t="s">
        <v>624</v>
      </c>
      <c r="D5" s="160">
        <f>B5</f>
        <v>845714011.2321494</v>
      </c>
      <c r="E5" s="158">
        <f>D5/D8</f>
        <v>0.015488770918896277</v>
      </c>
      <c r="F5" s="19">
        <f>D5-D19</f>
        <v>142376866.1117258</v>
      </c>
    </row>
    <row r="6" spans="1:6" ht="12.75">
      <c r="A6" s="305" t="s">
        <v>576</v>
      </c>
      <c r="B6" s="248">
        <f>B20</f>
        <v>99515931.44523913</v>
      </c>
      <c r="C6" s="249">
        <f>C20</f>
        <v>2015752719.3134089</v>
      </c>
      <c r="D6" s="160">
        <f>B6+C6</f>
        <v>2115268650.758648</v>
      </c>
      <c r="E6" s="158">
        <f>D6/D8</f>
        <v>0.03873994178692879</v>
      </c>
      <c r="F6" s="19"/>
    </row>
    <row r="7" spans="1:6" ht="13.5" thickBot="1">
      <c r="A7" s="305" t="s">
        <v>577</v>
      </c>
      <c r="B7" s="161">
        <f>Recreational!B7</f>
        <v>223697620</v>
      </c>
      <c r="C7" s="123" t="s">
        <v>624</v>
      </c>
      <c r="D7" s="162">
        <f>B7</f>
        <v>223697620</v>
      </c>
      <c r="E7" s="158">
        <f>D7/D8</f>
        <v>0.004096894630176842</v>
      </c>
      <c r="F7" s="19">
        <f>D7-D21</f>
        <v>-6472050</v>
      </c>
    </row>
    <row r="8" spans="1:6" ht="13.5" thickTop="1">
      <c r="A8" s="305" t="s">
        <v>581</v>
      </c>
      <c r="B8" s="707">
        <f>SUM(B4:B7)</f>
        <v>14260939524.861616</v>
      </c>
      <c r="C8" s="708">
        <f>SUM(C4:C7)</f>
        <v>40340811360.38</v>
      </c>
      <c r="D8" s="225">
        <f>B8+C8</f>
        <v>54601750885.241615</v>
      </c>
      <c r="E8" s="158">
        <f>SUM(E4:E7)</f>
        <v>0.9999999999999999</v>
      </c>
      <c r="F8" s="19">
        <f>D8-D22</f>
        <v>3073429200.2175217</v>
      </c>
    </row>
    <row r="9" spans="1:5" ht="12.75">
      <c r="A9" s="305" t="s">
        <v>154</v>
      </c>
      <c r="B9" s="709">
        <f>B8/D8</f>
        <v>0.2611809931669467</v>
      </c>
      <c r="C9" s="710">
        <f>C8/D8</f>
        <v>0.7388190068330532</v>
      </c>
      <c r="D9" s="711">
        <f>SUM(B9:C9)</f>
        <v>1</v>
      </c>
      <c r="E9" s="163"/>
    </row>
    <row r="10" spans="1:5" ht="13.5" thickBot="1">
      <c r="A10" s="305" t="s">
        <v>814</v>
      </c>
      <c r="B10" s="712">
        <f>B8-B22</f>
        <v>1588324178.2923489</v>
      </c>
      <c r="C10" s="713">
        <f>C8-C22</f>
        <v>1485105021.925171</v>
      </c>
      <c r="D10" s="714">
        <f>D8-D22</f>
        <v>3073429200.2175217</v>
      </c>
      <c r="E10" s="163"/>
    </row>
    <row r="11" spans="1:5" ht="12.75">
      <c r="A11" s="305"/>
      <c r="B11" s="226"/>
      <c r="C11" s="226"/>
      <c r="D11" s="226"/>
      <c r="E11" s="163"/>
    </row>
    <row r="12" spans="2:4" ht="12.75">
      <c r="B12" s="226"/>
      <c r="C12" s="226"/>
      <c r="D12" s="226"/>
    </row>
    <row r="13" spans="2:4" ht="12.75">
      <c r="B13" s="226"/>
      <c r="C13" s="226"/>
      <c r="D13" s="227"/>
    </row>
    <row r="14" spans="2:4" ht="12.75">
      <c r="B14" s="226"/>
      <c r="C14" s="226"/>
      <c r="D14" s="227"/>
    </row>
    <row r="15" spans="1:5" ht="15.75">
      <c r="A15" s="201" t="s">
        <v>807</v>
      </c>
      <c r="B15" s="151"/>
      <c r="C15" s="151"/>
      <c r="D15" s="151"/>
      <c r="E15" s="151"/>
    </row>
    <row r="16" spans="2:3" ht="12.75">
      <c r="B16" s="38"/>
      <c r="C16" s="38"/>
    </row>
    <row r="17" spans="1:6" ht="14.25" thickBot="1">
      <c r="A17" s="24"/>
      <c r="B17" s="304" t="s">
        <v>627</v>
      </c>
      <c r="C17" s="304" t="s">
        <v>286</v>
      </c>
      <c r="D17" s="304" t="s">
        <v>167</v>
      </c>
      <c r="E17" s="442" t="s">
        <v>153</v>
      </c>
      <c r="F17" s="304" t="s">
        <v>806</v>
      </c>
    </row>
    <row r="18" spans="1:6" ht="12.75">
      <c r="A18" s="305" t="s">
        <v>575</v>
      </c>
      <c r="B18" s="155">
        <f>'Imports-Exports'!DR154+Fishmeal!D37</f>
        <v>11639592600.003603</v>
      </c>
      <c r="C18" s="156">
        <f>'Imports-Exports'!DR221</f>
        <v>36839953619.14142</v>
      </c>
      <c r="D18" s="157">
        <f>B18+C18</f>
        <v>48479546219.14502</v>
      </c>
      <c r="E18" s="158">
        <f>D18/D22</f>
        <v>0.9408330144242762</v>
      </c>
      <c r="F18" s="19">
        <f>D18-D32</f>
        <v>-171857671.98589325</v>
      </c>
    </row>
    <row r="19" spans="1:6" ht="12.75">
      <c r="A19" s="305" t="s">
        <v>578</v>
      </c>
      <c r="B19" s="159">
        <f>'Discard mortality'!C23</f>
        <v>703337145.1204236</v>
      </c>
      <c r="C19" s="122" t="s">
        <v>624</v>
      </c>
      <c r="D19" s="160">
        <f>B19</f>
        <v>703337145.1204236</v>
      </c>
      <c r="E19" s="158">
        <f>D19/D22</f>
        <v>0.013649525583613906</v>
      </c>
      <c r="F19" s="19">
        <f>D19-D33</f>
        <v>11718164.694851995</v>
      </c>
    </row>
    <row r="20" spans="1:6" ht="12.75">
      <c r="A20" s="305" t="s">
        <v>576</v>
      </c>
      <c r="B20" s="248">
        <f>Aquaculture!D11</f>
        <v>99515931.44523913</v>
      </c>
      <c r="C20" s="249">
        <f>Aquaculture!D18</f>
        <v>2015752719.3134089</v>
      </c>
      <c r="D20" s="160">
        <f>B20+C20</f>
        <v>2115268650.758648</v>
      </c>
      <c r="E20" s="158">
        <f>D20/D22</f>
        <v>0.04105060249562558</v>
      </c>
      <c r="F20" s="19">
        <f>D20-D34</f>
        <v>237020630.3911736</v>
      </c>
    </row>
    <row r="21" spans="1:6" ht="13.5" thickBot="1">
      <c r="A21" s="305" t="s">
        <v>577</v>
      </c>
      <c r="B21" s="161">
        <f>Recreational!C7</f>
        <v>230169670</v>
      </c>
      <c r="C21" s="123" t="s">
        <v>624</v>
      </c>
      <c r="D21" s="162">
        <f>B21</f>
        <v>230169670</v>
      </c>
      <c r="E21" s="158">
        <f>D21/D22</f>
        <v>0.004466857496484215</v>
      </c>
      <c r="F21" s="19">
        <f>D21-D35</f>
        <v>-33783900</v>
      </c>
    </row>
    <row r="22" spans="1:6" ht="13.5" thickTop="1">
      <c r="A22" s="305" t="s">
        <v>581</v>
      </c>
      <c r="B22" s="707">
        <f>SUM(B18:B21)</f>
        <v>12672615346.569267</v>
      </c>
      <c r="C22" s="708">
        <f>SUM(C18:C21)</f>
        <v>38855706338.45483</v>
      </c>
      <c r="D22" s="225">
        <f>B22+C22</f>
        <v>51528321685.02409</v>
      </c>
      <c r="E22" s="158">
        <f>SUM(E18:E21)</f>
        <v>0.9999999999999999</v>
      </c>
      <c r="F22" s="19">
        <f>D22-D36</f>
        <v>43097223.1001358</v>
      </c>
    </row>
    <row r="23" spans="1:9" ht="12.75">
      <c r="A23" s="305" t="s">
        <v>154</v>
      </c>
      <c r="B23" s="709">
        <f>B22/D22</f>
        <v>0.24593495251083183</v>
      </c>
      <c r="C23" s="710">
        <f>C22/D22</f>
        <v>0.7540650474891681</v>
      </c>
      <c r="D23" s="711">
        <f>SUM(B23:C23)</f>
        <v>1</v>
      </c>
      <c r="E23" s="163"/>
      <c r="I23" s="3"/>
    </row>
    <row r="24" spans="1:5" ht="13.5" thickBot="1">
      <c r="A24" s="305" t="s">
        <v>806</v>
      </c>
      <c r="B24" s="712">
        <f>B22-B36</f>
        <v>169467738.26261902</v>
      </c>
      <c r="C24" s="713">
        <f>C22-C36</f>
        <v>-126370515.16248322</v>
      </c>
      <c r="D24" s="714">
        <f>D22-D36</f>
        <v>43097223.1001358</v>
      </c>
      <c r="E24" s="163"/>
    </row>
    <row r="25" spans="1:5" ht="12.75">
      <c r="A25" s="305"/>
      <c r="B25" s="226"/>
      <c r="C25" s="226"/>
      <c r="D25" s="226"/>
      <c r="E25" s="163"/>
    </row>
    <row r="26" spans="2:4" ht="12.75">
      <c r="B26" s="226"/>
      <c r="C26" s="226"/>
      <c r="D26" s="226"/>
    </row>
    <row r="27" spans="2:4" ht="12.75">
      <c r="B27" s="226"/>
      <c r="C27" s="226"/>
      <c r="D27" s="227"/>
    </row>
    <row r="28" spans="2:4" ht="12.75">
      <c r="B28" s="226"/>
      <c r="C28" s="226"/>
      <c r="D28" s="227"/>
    </row>
    <row r="29" spans="1:5" ht="15.75">
      <c r="A29" s="201" t="s">
        <v>13</v>
      </c>
      <c r="B29" s="151"/>
      <c r="C29" s="151"/>
      <c r="D29" s="151"/>
      <c r="E29" s="151"/>
    </row>
    <row r="30" spans="2:3" ht="12.75">
      <c r="B30" s="38"/>
      <c r="C30" s="38"/>
    </row>
    <row r="31" spans="1:6" ht="14.25" thickBot="1">
      <c r="A31" s="24"/>
      <c r="B31" s="304" t="s">
        <v>627</v>
      </c>
      <c r="C31" s="304" t="s">
        <v>286</v>
      </c>
      <c r="D31" s="304" t="s">
        <v>167</v>
      </c>
      <c r="E31" s="442" t="s">
        <v>153</v>
      </c>
      <c r="F31" s="304" t="s">
        <v>14</v>
      </c>
    </row>
    <row r="32" spans="1:6" ht="12.75">
      <c r="A32" s="305" t="s">
        <v>575</v>
      </c>
      <c r="B32" s="155">
        <f>'Imports-Exports'!DS154+Fishmeal!E37</f>
        <v>11449337188.270363</v>
      </c>
      <c r="C32" s="156">
        <f>'Imports-Exports'!DS221</f>
        <v>37202066702.86055</v>
      </c>
      <c r="D32" s="157">
        <f>B32+C32</f>
        <v>48651403891.13091</v>
      </c>
      <c r="E32" s="158">
        <f>D32/D36</f>
        <v>0.9449585662603296</v>
      </c>
      <c r="F32" s="19">
        <f>D32-D46</f>
        <v>1672553853.0758743</v>
      </c>
    </row>
    <row r="33" spans="1:6" ht="12.75">
      <c r="A33" s="305" t="s">
        <v>578</v>
      </c>
      <c r="B33" s="159">
        <f>'Discard mortality'!D23</f>
        <v>691618980.4255716</v>
      </c>
      <c r="C33" s="122" t="s">
        <v>624</v>
      </c>
      <c r="D33" s="160">
        <f>B33</f>
        <v>691618980.4255716</v>
      </c>
      <c r="E33" s="158">
        <f>D33/D36</f>
        <v>0.013433348842386039</v>
      </c>
      <c r="F33" s="19">
        <f>D33-D47</f>
        <v>-20168071.65598929</v>
      </c>
    </row>
    <row r="34" spans="1:6" ht="12.75">
      <c r="A34" s="305" t="s">
        <v>576</v>
      </c>
      <c r="B34" s="248">
        <f>Aquaculture!F11</f>
        <v>98237869.61071347</v>
      </c>
      <c r="C34" s="249">
        <f>Aquaculture!F18</f>
        <v>1780010150.7567608</v>
      </c>
      <c r="D34" s="160">
        <f>B34+C34</f>
        <v>1878248020.3674743</v>
      </c>
      <c r="E34" s="158">
        <f>D34/D36</f>
        <v>0.03648130196570354</v>
      </c>
      <c r="F34" s="19">
        <f>D34-D48</f>
        <v>-76779699.27701402</v>
      </c>
    </row>
    <row r="35" spans="1:6" ht="13.5" thickBot="1">
      <c r="A35" s="305" t="s">
        <v>577</v>
      </c>
      <c r="B35" s="161">
        <f>Recreational!D7</f>
        <v>263953570</v>
      </c>
      <c r="C35" s="123" t="s">
        <v>624</v>
      </c>
      <c r="D35" s="162">
        <f>B35</f>
        <v>263953570</v>
      </c>
      <c r="E35" s="158">
        <f>D35/D36</f>
        <v>0.005126782931580838</v>
      </c>
      <c r="F35" s="19">
        <f>D35-D49</f>
        <v>-42734260</v>
      </c>
    </row>
    <row r="36" spans="1:6" ht="13.5" thickTop="1">
      <c r="A36" s="305" t="s">
        <v>581</v>
      </c>
      <c r="B36" s="707">
        <f>SUM(B32:B35)</f>
        <v>12503147608.306648</v>
      </c>
      <c r="C36" s="708">
        <f>SUM(C32:C35)</f>
        <v>38982076853.61731</v>
      </c>
      <c r="D36" s="225">
        <f>B36+C36</f>
        <v>51485224461.92396</v>
      </c>
      <c r="E36" s="158">
        <f>SUM(E32:E35)</f>
        <v>1</v>
      </c>
      <c r="F36" s="19">
        <f>D36-D50</f>
        <v>1532871822.1428757</v>
      </c>
    </row>
    <row r="37" spans="1:9" ht="12.75">
      <c r="A37" s="305" t="s">
        <v>154</v>
      </c>
      <c r="B37" s="709">
        <f>B36/D36</f>
        <v>0.24284923954353907</v>
      </c>
      <c r="C37" s="710">
        <f>C36/D36</f>
        <v>0.7571507604564609</v>
      </c>
      <c r="D37" s="711">
        <f>SUM(B37:C37)</f>
        <v>1</v>
      </c>
      <c r="E37" s="163"/>
      <c r="I37" s="3"/>
    </row>
    <row r="38" spans="1:5" ht="13.5" thickBot="1">
      <c r="A38" s="305" t="s">
        <v>14</v>
      </c>
      <c r="B38" s="712">
        <f>B36-B50</f>
        <v>-33487654.62314415</v>
      </c>
      <c r="C38" s="713">
        <f>C36-C50</f>
        <v>1566359476.7660217</v>
      </c>
      <c r="D38" s="714">
        <f>D36-D50</f>
        <v>1532871822.1428757</v>
      </c>
      <c r="E38" s="163"/>
    </row>
    <row r="39" spans="1:5" ht="12.75">
      <c r="A39" s="305"/>
      <c r="B39" s="226"/>
      <c r="C39" s="226"/>
      <c r="D39" s="226"/>
      <c r="E39" s="163"/>
    </row>
    <row r="40" spans="2:4" ht="12.75">
      <c r="B40" s="226"/>
      <c r="C40" s="226"/>
      <c r="D40" s="226"/>
    </row>
    <row r="41" spans="2:4" ht="12.75">
      <c r="B41" s="226"/>
      <c r="C41" s="226"/>
      <c r="D41" s="227"/>
    </row>
    <row r="42" spans="2:4" ht="12.75">
      <c r="B42" s="226"/>
      <c r="C42" s="226"/>
      <c r="D42" s="227"/>
    </row>
    <row r="43" spans="1:5" ht="15.75">
      <c r="A43" s="201" t="s">
        <v>118</v>
      </c>
      <c r="B43" s="151"/>
      <c r="C43" s="151"/>
      <c r="D43" s="151"/>
      <c r="E43" s="151"/>
    </row>
    <row r="44" spans="2:3" ht="12.75" customHeight="1">
      <c r="B44" s="38"/>
      <c r="C44" s="38"/>
    </row>
    <row r="45" spans="1:6" ht="14.25" thickBot="1">
      <c r="A45" s="24"/>
      <c r="B45" s="304" t="s">
        <v>627</v>
      </c>
      <c r="C45" s="304" t="s">
        <v>286</v>
      </c>
      <c r="D45" s="304" t="s">
        <v>167</v>
      </c>
      <c r="E45" s="442" t="s">
        <v>153</v>
      </c>
      <c r="F45" s="304" t="s">
        <v>119</v>
      </c>
    </row>
    <row r="46" spans="1:6" ht="12.75">
      <c r="A46" s="305" t="s">
        <v>575</v>
      </c>
      <c r="B46" s="155">
        <f>'Imports-Exports'!DT154+Fishmeal!F37</f>
        <v>11415386856.98273</v>
      </c>
      <c r="C46" s="156">
        <f>'Imports-Exports'!DT221</f>
        <v>35563463181.0723</v>
      </c>
      <c r="D46" s="157">
        <f>B46+C46</f>
        <v>46978850038.05504</v>
      </c>
      <c r="E46" s="158">
        <f>D46/D50</f>
        <v>0.9404732220888831</v>
      </c>
      <c r="F46" s="19">
        <f>D46-D60</f>
        <v>-1202962220.8394394</v>
      </c>
    </row>
    <row r="47" spans="1:6" ht="12.75">
      <c r="A47" s="305" t="s">
        <v>578</v>
      </c>
      <c r="B47" s="159">
        <f>'Discard mortality'!E23</f>
        <v>711787052.0815609</v>
      </c>
      <c r="C47" s="122" t="s">
        <v>624</v>
      </c>
      <c r="D47" s="160">
        <f>B47</f>
        <v>711787052.0815609</v>
      </c>
      <c r="E47" s="158">
        <f>D47/D50</f>
        <v>0.014249319891185816</v>
      </c>
      <c r="F47" s="19">
        <f>D47-D61</f>
        <v>-70858961.63791597</v>
      </c>
    </row>
    <row r="48" spans="1:6" ht="12.75">
      <c r="A48" s="305" t="s">
        <v>576</v>
      </c>
      <c r="B48" s="248">
        <f>Aquaculture!H11</f>
        <v>102773523.8655012</v>
      </c>
      <c r="C48" s="249">
        <f>Aquaculture!H18</f>
        <v>1852254195.7789872</v>
      </c>
      <c r="D48" s="160">
        <f>B48+C48</f>
        <v>1955027719.6444883</v>
      </c>
      <c r="E48" s="158">
        <f>D48/D50</f>
        <v>0.03913785069829809</v>
      </c>
      <c r="F48" s="19">
        <f>D48-D62</f>
        <v>443869635.59281635</v>
      </c>
    </row>
    <row r="49" spans="1:6" ht="13.5" thickBot="1">
      <c r="A49" s="305" t="s">
        <v>577</v>
      </c>
      <c r="B49" s="161">
        <f>Recreational!E7</f>
        <v>306687830</v>
      </c>
      <c r="C49" s="123" t="s">
        <v>624</v>
      </c>
      <c r="D49" s="162">
        <f>B49</f>
        <v>306687830</v>
      </c>
      <c r="E49" s="158">
        <f>D49/D50</f>
        <v>0.006139607321633131</v>
      </c>
      <c r="F49" s="19">
        <f>D49-D63</f>
        <v>-7763620</v>
      </c>
    </row>
    <row r="50" spans="1:6" ht="13.5" thickTop="1">
      <c r="A50" s="305" t="s">
        <v>581</v>
      </c>
      <c r="B50" s="707">
        <f>SUM(B46:B49)</f>
        <v>12536635262.929792</v>
      </c>
      <c r="C50" s="708">
        <f>SUM(C46:C49)</f>
        <v>37415717376.85129</v>
      </c>
      <c r="D50" s="225">
        <f>B50+C50</f>
        <v>49952352639.78108</v>
      </c>
      <c r="E50" s="158">
        <f>SUM(E46:E49)</f>
        <v>1.0000000000000002</v>
      </c>
      <c r="F50" s="19">
        <f>D50-D64</f>
        <v>-837715166.8845444</v>
      </c>
    </row>
    <row r="51" spans="1:5" ht="12.75">
      <c r="A51" s="305" t="s">
        <v>154</v>
      </c>
      <c r="B51" s="709">
        <f>B50/D50</f>
        <v>0.2509718681987735</v>
      </c>
      <c r="C51" s="710">
        <f>C50/D50</f>
        <v>0.7490281318012265</v>
      </c>
      <c r="D51" s="711">
        <f>SUM(B51:C51)</f>
        <v>1</v>
      </c>
      <c r="E51" s="163"/>
    </row>
    <row r="52" spans="1:5" ht="13.5" thickBot="1">
      <c r="A52" s="305" t="s">
        <v>119</v>
      </c>
      <c r="B52" s="712">
        <f>B50-B64</f>
        <v>-428253235.748621</v>
      </c>
      <c r="C52" s="713">
        <f>C50-C64</f>
        <v>-409461931.1359253</v>
      </c>
      <c r="D52" s="714">
        <f>D50-D64</f>
        <v>-837715166.8845444</v>
      </c>
      <c r="E52" s="163"/>
    </row>
    <row r="53" spans="1:5" ht="12.75">
      <c r="A53" s="305"/>
      <c r="B53" s="226"/>
      <c r="C53" s="226"/>
      <c r="D53" s="226"/>
      <c r="E53" s="163"/>
    </row>
    <row r="54" spans="2:4" ht="12.75">
      <c r="B54" s="226"/>
      <c r="C54" s="226"/>
      <c r="D54" s="226"/>
    </row>
    <row r="55" spans="2:4" ht="12.75">
      <c r="B55" s="226"/>
      <c r="C55" s="226"/>
      <c r="D55" s="227"/>
    </row>
    <row r="56" spans="2:4" ht="12.75">
      <c r="B56" s="226"/>
      <c r="C56" s="226"/>
      <c r="D56" s="227"/>
    </row>
    <row r="57" spans="1:5" ht="15.75">
      <c r="A57" s="201" t="s">
        <v>739</v>
      </c>
      <c r="B57" s="151"/>
      <c r="C57" s="151"/>
      <c r="D57" s="151"/>
      <c r="E57" s="151"/>
    </row>
    <row r="58" spans="2:3" ht="12.75">
      <c r="B58" s="38"/>
      <c r="C58" s="38"/>
    </row>
    <row r="59" spans="1:6" ht="14.25" thickBot="1">
      <c r="A59" s="24"/>
      <c r="B59" s="304" t="s">
        <v>627</v>
      </c>
      <c r="C59" s="304" t="s">
        <v>286</v>
      </c>
      <c r="D59" s="304" t="s">
        <v>167</v>
      </c>
      <c r="E59" s="442" t="s">
        <v>153</v>
      </c>
      <c r="F59" s="304" t="s">
        <v>694</v>
      </c>
    </row>
    <row r="60" spans="1:6" ht="12.75">
      <c r="A60" s="305" t="s">
        <v>575</v>
      </c>
      <c r="B60" s="155">
        <f>'Imports-Exports'!DU154+Fishmeal!G37</f>
        <v>11758669468.246971</v>
      </c>
      <c r="C60" s="156">
        <f>'Imports-Exports'!DU221</f>
        <v>36423142790.64751</v>
      </c>
      <c r="D60" s="157">
        <f>B60+C60</f>
        <v>48181812258.89448</v>
      </c>
      <c r="E60" s="158">
        <f>D60/D64</f>
        <v>0.9486463464136419</v>
      </c>
      <c r="F60" s="19">
        <f>D60-D74</f>
        <v>-4597811765.543007</v>
      </c>
    </row>
    <row r="61" spans="1:6" ht="12.75">
      <c r="A61" s="305" t="s">
        <v>578</v>
      </c>
      <c r="B61" s="159">
        <f>'Discard mortality'!F23</f>
        <v>782646013.7194768</v>
      </c>
      <c r="C61" s="122" t="s">
        <v>624</v>
      </c>
      <c r="D61" s="160">
        <f>B61</f>
        <v>782646013.7194768</v>
      </c>
      <c r="E61" s="158">
        <f>D61/D64</f>
        <v>0.015409430377188102</v>
      </c>
      <c r="F61" s="19">
        <f>D61-D75</f>
        <v>-82995856.95265043</v>
      </c>
    </row>
    <row r="62" spans="1:6" ht="12.75">
      <c r="A62" s="305" t="s">
        <v>576</v>
      </c>
      <c r="B62" s="248">
        <f>Aquaculture!J11</f>
        <v>109121566.71196651</v>
      </c>
      <c r="C62" s="249">
        <f>Aquaculture!J18</f>
        <v>1402036517.3397055</v>
      </c>
      <c r="D62" s="160">
        <f>B62+C62</f>
        <v>1511158084.051672</v>
      </c>
      <c r="E62" s="158">
        <f>D62/D64</f>
        <v>0.029753023559723413</v>
      </c>
      <c r="F62" s="19">
        <f>D62-D76</f>
        <v>11370040.364520311</v>
      </c>
    </row>
    <row r="63" spans="1:6" ht="13.5" thickBot="1">
      <c r="A63" s="305" t="s">
        <v>577</v>
      </c>
      <c r="B63" s="161">
        <f>Recreational!F7</f>
        <v>314451450</v>
      </c>
      <c r="C63" s="123" t="s">
        <v>624</v>
      </c>
      <c r="D63" s="162">
        <f>B63</f>
        <v>314451450</v>
      </c>
      <c r="E63" s="158">
        <f>D63/D64</f>
        <v>0.006191199649446654</v>
      </c>
      <c r="F63" s="19">
        <f>D63-D77</f>
        <v>-4878160</v>
      </c>
    </row>
    <row r="64" spans="1:6" ht="13.5" thickTop="1">
      <c r="A64" s="305" t="s">
        <v>581</v>
      </c>
      <c r="B64" s="707">
        <f>SUM(B60:B63)</f>
        <v>12964888498.678413</v>
      </c>
      <c r="C64" s="708">
        <f>SUM(C60:C63)</f>
        <v>37825179307.98721</v>
      </c>
      <c r="D64" s="225">
        <f>B64+C64</f>
        <v>50790067806.66563</v>
      </c>
      <c r="E64" s="158">
        <f>SUM(E60:E63)</f>
        <v>1</v>
      </c>
      <c r="F64" s="19">
        <f>D64-D78</f>
        <v>-4674315742.131142</v>
      </c>
    </row>
    <row r="65" spans="1:8" ht="12.75">
      <c r="A65" s="305" t="s">
        <v>154</v>
      </c>
      <c r="B65" s="709">
        <f>B64/D64</f>
        <v>0.25526424867219644</v>
      </c>
      <c r="C65" s="710">
        <f>C64/D64</f>
        <v>0.7447357513278036</v>
      </c>
      <c r="D65" s="711">
        <f>SUM(B65:C65)</f>
        <v>1</v>
      </c>
      <c r="E65" s="163"/>
      <c r="H65" s="3"/>
    </row>
    <row r="66" spans="1:5" ht="13.5" thickBot="1">
      <c r="A66" s="305" t="s">
        <v>694</v>
      </c>
      <c r="B66" s="715">
        <f>B64-B78</f>
        <v>-1407093542.7240677</v>
      </c>
      <c r="C66" s="713">
        <f>C64-C78</f>
        <v>-3267222199.407074</v>
      </c>
      <c r="D66" s="714">
        <f>D64-D78</f>
        <v>-4674315742.131142</v>
      </c>
      <c r="E66" s="163"/>
    </row>
    <row r="67" spans="1:5" ht="12.75">
      <c r="A67" s="305"/>
      <c r="B67" s="226"/>
      <c r="C67" s="226"/>
      <c r="D67" s="227"/>
      <c r="E67" s="163"/>
    </row>
    <row r="68" spans="2:4" ht="12.75">
      <c r="B68" s="226"/>
      <c r="C68" s="226"/>
      <c r="D68" s="227"/>
    </row>
    <row r="69" spans="2:4" ht="12.75">
      <c r="B69" s="226"/>
      <c r="C69" s="226"/>
      <c r="D69" s="227"/>
    </row>
    <row r="70" spans="2:4" ht="12.75">
      <c r="B70" s="226"/>
      <c r="C70" s="226"/>
      <c r="D70" s="227"/>
    </row>
    <row r="71" spans="1:5" ht="15.75">
      <c r="A71" s="201" t="s">
        <v>738</v>
      </c>
      <c r="B71" s="151"/>
      <c r="C71" s="151"/>
      <c r="D71" s="151"/>
      <c r="E71" s="151"/>
    </row>
    <row r="72" spans="2:3" ht="12.75">
      <c r="B72" s="38"/>
      <c r="C72" s="38"/>
    </row>
    <row r="73" spans="1:5" ht="14.25" thickBot="1">
      <c r="A73" s="24"/>
      <c r="B73" s="304" t="s">
        <v>627</v>
      </c>
      <c r="C73" s="304" t="s">
        <v>286</v>
      </c>
      <c r="D73" s="304" t="s">
        <v>167</v>
      </c>
      <c r="E73" s="442" t="s">
        <v>153</v>
      </c>
    </row>
    <row r="74" spans="1:5" ht="12.75">
      <c r="A74" s="305" t="s">
        <v>575</v>
      </c>
      <c r="B74" s="155">
        <f>'Imports-Exports'!DV154+Fishmeal!H37</f>
        <v>13077237578.791698</v>
      </c>
      <c r="C74" s="156">
        <f>'Imports-Exports'!DV221</f>
        <v>39702386445.64579</v>
      </c>
      <c r="D74" s="157">
        <f>B74+C74</f>
        <v>52779624024.437485</v>
      </c>
      <c r="E74" s="158">
        <f>D74/D78</f>
        <v>0.9515948911250899</v>
      </c>
    </row>
    <row r="75" spans="1:5" ht="12.75">
      <c r="A75" s="305" t="s">
        <v>578</v>
      </c>
      <c r="B75" s="159">
        <f>'Discard mortality'!G23</f>
        <v>865641870.6721272</v>
      </c>
      <c r="C75" s="122" t="s">
        <v>624</v>
      </c>
      <c r="D75" s="160">
        <f>B75</f>
        <v>865641870.6721272</v>
      </c>
      <c r="E75" s="158">
        <f>D75/D78</f>
        <v>0.015607166532564956</v>
      </c>
    </row>
    <row r="76" spans="1:5" ht="12.75">
      <c r="A76" s="305" t="s">
        <v>576</v>
      </c>
      <c r="B76" s="248">
        <f>Aquaculture!L11</f>
        <v>109772981.93865633</v>
      </c>
      <c r="C76" s="249">
        <f>Aquaculture!L18</f>
        <v>1390015061.7484953</v>
      </c>
      <c r="D76" s="160">
        <f>B76+C76</f>
        <v>1499788043.6871517</v>
      </c>
      <c r="E76" s="158">
        <f>D76/D78</f>
        <v>0.027040560946064777</v>
      </c>
    </row>
    <row r="77" spans="1:5" ht="13.5" thickBot="1">
      <c r="A77" s="305" t="s">
        <v>577</v>
      </c>
      <c r="B77" s="161">
        <f>Recreational!G7</f>
        <v>319329610</v>
      </c>
      <c r="C77" s="123" t="s">
        <v>624</v>
      </c>
      <c r="D77" s="162">
        <f>B77</f>
        <v>319329610</v>
      </c>
      <c r="E77" s="158">
        <f>D77/D78</f>
        <v>0.0057573813962803425</v>
      </c>
    </row>
    <row r="78" spans="1:5" ht="13.5" thickTop="1">
      <c r="A78" s="305" t="s">
        <v>581</v>
      </c>
      <c r="B78" s="707">
        <f>SUM(B74:B77)</f>
        <v>14371982041.402481</v>
      </c>
      <c r="C78" s="708">
        <f>SUM(C74:C77)</f>
        <v>41092401507.39429</v>
      </c>
      <c r="D78" s="225">
        <f>B78+C78</f>
        <v>55464383548.79677</v>
      </c>
      <c r="E78" s="158">
        <f>SUM(E74:E77)</f>
        <v>1</v>
      </c>
    </row>
    <row r="79" spans="1:5" ht="13.5" thickBot="1">
      <c r="A79" s="305" t="s">
        <v>154</v>
      </c>
      <c r="B79" s="716">
        <f>B78/D78</f>
        <v>0.2591209190805883</v>
      </c>
      <c r="C79" s="717">
        <f>C78/D78</f>
        <v>0.7408790809194117</v>
      </c>
      <c r="D79" s="718">
        <f>SUM(B79:C79)</f>
        <v>1</v>
      </c>
      <c r="E79" s="163"/>
    </row>
    <row r="80" spans="1:5" ht="12.75">
      <c r="A80" s="305"/>
      <c r="B80" s="226"/>
      <c r="C80" s="226"/>
      <c r="D80" s="227"/>
      <c r="E80" s="163"/>
    </row>
    <row r="81" spans="2:3" ht="12.75">
      <c r="B81" s="226"/>
      <c r="C81" s="226"/>
    </row>
  </sheetData>
  <sheetProtection/>
  <printOptions/>
  <pageMargins left="1" right="0.75" top="1" bottom="1" header="0.5" footer="0.5"/>
  <pageSetup firstPageNumber="5" useFirstPageNumber="1" horizontalDpi="300" verticalDpi="300" orientation="portrait" r:id="rId1"/>
  <headerFooter alignWithMargins="0">
    <oddHeader>&amp;C&amp;"Times New Roman,Bold"&amp;12Annual Sea Animal Mortality Caused by Fishing Practices in the United States&amp;R&amp;P</oddHeader>
  </headerFooter>
</worksheet>
</file>

<file path=xl/worksheets/sheet10.xml><?xml version="1.0" encoding="utf-8"?>
<worksheet xmlns="http://schemas.openxmlformats.org/spreadsheetml/2006/main" xmlns:r="http://schemas.openxmlformats.org/officeDocument/2006/relationships">
  <dimension ref="A1:P180"/>
  <sheetViews>
    <sheetView zoomScalePageLayoutView="0" workbookViewId="0" topLeftCell="A1">
      <selection activeCell="A1" sqref="A1:IV16384"/>
    </sheetView>
  </sheetViews>
  <sheetFormatPr defaultColWidth="9.140625" defaultRowHeight="12.75"/>
  <cols>
    <col min="1" max="1" width="24.8515625" style="11" customWidth="1"/>
    <col min="2" max="3" width="13.7109375" style="11" customWidth="1"/>
    <col min="4" max="5" width="12.57421875" style="3" customWidth="1"/>
    <col min="6" max="6" width="12.57421875" style="1" customWidth="1"/>
    <col min="7" max="8" width="12.57421875" style="9" customWidth="1"/>
    <col min="9" max="9" width="11.421875" style="9" customWidth="1"/>
    <col min="10" max="10" width="9.140625" style="9" customWidth="1"/>
    <col min="11" max="16384" width="9.140625" style="1" customWidth="1"/>
  </cols>
  <sheetData>
    <row r="1" spans="1:3" ht="13.5" thickBot="1">
      <c r="A1" s="306" t="s">
        <v>771</v>
      </c>
      <c r="B1" s="306"/>
      <c r="C1" s="306"/>
    </row>
    <row r="2" spans="1:9" ht="12" customHeight="1" thickBot="1">
      <c r="A2" s="10"/>
      <c r="B2" s="366" t="s">
        <v>817</v>
      </c>
      <c r="C2" s="302" t="s">
        <v>803</v>
      </c>
      <c r="D2" s="302" t="s">
        <v>12</v>
      </c>
      <c r="E2" s="302" t="s">
        <v>766</v>
      </c>
      <c r="F2" s="302" t="s">
        <v>767</v>
      </c>
      <c r="G2" s="302" t="s">
        <v>765</v>
      </c>
      <c r="H2" s="303" t="s">
        <v>768</v>
      </c>
      <c r="I2" s="521" t="s">
        <v>367</v>
      </c>
    </row>
    <row r="3" spans="1:9" ht="12.75">
      <c r="A3" s="305" t="s">
        <v>120</v>
      </c>
      <c r="B3" s="265">
        <v>139491000</v>
      </c>
      <c r="C3" s="294">
        <v>141574000</v>
      </c>
      <c r="D3" s="294">
        <v>174050000</v>
      </c>
      <c r="E3" s="294">
        <v>196659000</v>
      </c>
      <c r="F3" s="294">
        <v>202872000</v>
      </c>
      <c r="G3" s="295">
        <v>212311000</v>
      </c>
      <c r="H3" s="522">
        <v>161553679</v>
      </c>
      <c r="I3" s="202" t="s">
        <v>360</v>
      </c>
    </row>
    <row r="4" spans="1:9" ht="12.75">
      <c r="A4" s="305" t="s">
        <v>168</v>
      </c>
      <c r="B4" s="236">
        <v>205382000</v>
      </c>
      <c r="C4" s="296">
        <v>216087000</v>
      </c>
      <c r="D4" s="296">
        <v>219277000</v>
      </c>
      <c r="E4" s="296">
        <v>268363000</v>
      </c>
      <c r="F4" s="296">
        <v>272145000</v>
      </c>
      <c r="G4" s="272">
        <v>261021000</v>
      </c>
      <c r="H4" s="523">
        <v>204682523</v>
      </c>
      <c r="I4" s="524" t="s">
        <v>802</v>
      </c>
    </row>
    <row r="5" spans="1:9" ht="12.75">
      <c r="A5" s="305" t="s">
        <v>580</v>
      </c>
      <c r="B5" s="367">
        <v>0.41</v>
      </c>
      <c r="C5" s="297">
        <v>0.41</v>
      </c>
      <c r="D5" s="297">
        <v>0.41</v>
      </c>
      <c r="E5" s="297">
        <v>0.41</v>
      </c>
      <c r="F5" s="297">
        <v>0.41</v>
      </c>
      <c r="G5" s="297">
        <v>0.41</v>
      </c>
      <c r="H5" s="298">
        <v>0.41</v>
      </c>
      <c r="I5" s="202" t="s">
        <v>616</v>
      </c>
    </row>
    <row r="6" spans="1:8" ht="13.5" thickBot="1">
      <c r="A6" s="305" t="s">
        <v>769</v>
      </c>
      <c r="B6" s="236">
        <f>B4*B5</f>
        <v>84206620</v>
      </c>
      <c r="C6" s="296">
        <f aca="true" t="shared" si="0" ref="C6:H6">C4*C5</f>
        <v>88595670</v>
      </c>
      <c r="D6" s="296">
        <f t="shared" si="0"/>
        <v>89903570</v>
      </c>
      <c r="E6" s="296">
        <f t="shared" si="0"/>
        <v>110028830</v>
      </c>
      <c r="F6" s="296">
        <f t="shared" si="0"/>
        <v>111579450</v>
      </c>
      <c r="G6" s="296">
        <f t="shared" si="0"/>
        <v>107018610</v>
      </c>
      <c r="H6" s="299">
        <f t="shared" si="0"/>
        <v>83919834.42999999</v>
      </c>
    </row>
    <row r="7" spans="1:8" ht="14.25" thickBot="1">
      <c r="A7" s="119" t="s">
        <v>770</v>
      </c>
      <c r="B7" s="244">
        <f>B3+B6</f>
        <v>223697620</v>
      </c>
      <c r="C7" s="300">
        <f aca="true" t="shared" si="1" ref="C7:H7">C3+C6</f>
        <v>230169670</v>
      </c>
      <c r="D7" s="300">
        <f t="shared" si="1"/>
        <v>263953570</v>
      </c>
      <c r="E7" s="300">
        <f t="shared" si="1"/>
        <v>306687830</v>
      </c>
      <c r="F7" s="300">
        <f t="shared" si="1"/>
        <v>314451450</v>
      </c>
      <c r="G7" s="300">
        <f t="shared" si="1"/>
        <v>319329610</v>
      </c>
      <c r="H7" s="301">
        <f t="shared" si="1"/>
        <v>245473513.43</v>
      </c>
    </row>
    <row r="9" spans="9:10" ht="12.75">
      <c r="I9" s="203"/>
      <c r="J9" s="203"/>
    </row>
    <row r="11" ht="12" customHeight="1"/>
    <row r="13" spans="12:15" ht="12.75">
      <c r="L13" s="288"/>
      <c r="O13" s="288"/>
    </row>
    <row r="14" spans="10:16" ht="12.75">
      <c r="J14" s="3"/>
      <c r="K14" s="3"/>
      <c r="L14" s="3"/>
      <c r="M14" s="3"/>
      <c r="N14" s="3"/>
      <c r="O14" s="3"/>
      <c r="P14" s="3"/>
    </row>
    <row r="15" spans="10:15" ht="12.75">
      <c r="J15" s="1"/>
      <c r="L15" s="288"/>
      <c r="O15" s="288"/>
    </row>
    <row r="16" ht="12.75">
      <c r="J16" s="1"/>
    </row>
    <row r="17" spans="12:15" ht="12.75">
      <c r="L17" s="288"/>
      <c r="O17" s="288"/>
    </row>
    <row r="18" spans="9:10" ht="12.75">
      <c r="I18" s="203"/>
      <c r="J18" s="203"/>
    </row>
    <row r="19" spans="9:10" ht="12.75">
      <c r="I19" s="203"/>
      <c r="J19" s="203"/>
    </row>
    <row r="20" spans="9:10" ht="12.75">
      <c r="I20" s="203"/>
      <c r="J20" s="203"/>
    </row>
    <row r="21" spans="9:10" ht="12.75">
      <c r="I21" s="203"/>
      <c r="J21" s="203"/>
    </row>
    <row r="22" spans="9:10" ht="12.75">
      <c r="I22" s="203"/>
      <c r="J22" s="203"/>
    </row>
    <row r="23" spans="9:10" ht="12.75">
      <c r="I23" s="203"/>
      <c r="J23" s="203"/>
    </row>
    <row r="24" spans="9:10" ht="12.75">
      <c r="I24" s="203"/>
      <c r="J24" s="203"/>
    </row>
    <row r="25" spans="9:10" ht="12.75">
      <c r="I25" s="203"/>
      <c r="J25" s="203"/>
    </row>
    <row r="26" spans="9:10" ht="12.75">
      <c r="I26" s="203"/>
      <c r="J26" s="203"/>
    </row>
    <row r="27" spans="9:10" ht="12.75">
      <c r="I27" s="203"/>
      <c r="J27" s="203"/>
    </row>
    <row r="28" spans="9:10" ht="12.75">
      <c r="I28" s="203"/>
      <c r="J28" s="203"/>
    </row>
    <row r="29" spans="9:10" ht="12.75">
      <c r="I29" s="203"/>
      <c r="J29" s="203"/>
    </row>
    <row r="30" spans="9:10" ht="12.75">
      <c r="I30" s="203"/>
      <c r="J30" s="203"/>
    </row>
    <row r="31" spans="9:10" ht="12.75">
      <c r="I31" s="203"/>
      <c r="J31" s="203"/>
    </row>
    <row r="32" spans="9:10" ht="12.75">
      <c r="I32" s="203"/>
      <c r="J32" s="203"/>
    </row>
    <row r="33" spans="9:10" ht="12.75">
      <c r="I33" s="203"/>
      <c r="J33" s="1"/>
    </row>
    <row r="34" ht="12.75">
      <c r="J34" s="1"/>
    </row>
    <row r="35" ht="12.75">
      <c r="J35" s="1"/>
    </row>
    <row r="36" ht="12.75">
      <c r="J36" s="1"/>
    </row>
    <row r="37" ht="12.75">
      <c r="J37" s="1"/>
    </row>
    <row r="38" ht="12.75">
      <c r="J38" s="1"/>
    </row>
    <row r="180" ht="12.75">
      <c r="J180" s="9" t="s">
        <v>741</v>
      </c>
    </row>
  </sheetData>
  <sheetProtection/>
  <printOptions/>
  <pageMargins left="1.39" right="0.75" top="1.06" bottom="1" header="0.5" footer="0.5"/>
  <pageSetup firstPageNumber="9" useFirstPageNumber="1" horizontalDpi="300" verticalDpi="300" orientation="portrait" r:id="rId1"/>
  <headerFooter alignWithMargins="0">
    <oddHeader>&amp;C&amp;"Times New Roman,Bold"&amp;12U.S. Recreational Landings (1997)&amp;"Arial,Regular"&amp;10
&amp;"Times New Roman,Regular"(figures in number of fish)&amp;R&amp;P</oddHeader>
  </headerFooter>
</worksheet>
</file>

<file path=xl/worksheets/sheet11.xml><?xml version="1.0" encoding="utf-8"?>
<worksheet xmlns="http://schemas.openxmlformats.org/spreadsheetml/2006/main" xmlns:r="http://schemas.openxmlformats.org/officeDocument/2006/relationships">
  <dimension ref="A1:AC582"/>
  <sheetViews>
    <sheetView zoomScale="115" zoomScaleNormal="115" zoomScalePageLayoutView="0" workbookViewId="0" topLeftCell="A1">
      <selection activeCell="A1" sqref="A1:IV16384"/>
    </sheetView>
  </sheetViews>
  <sheetFormatPr defaultColWidth="9.140625" defaultRowHeight="12.75"/>
  <cols>
    <col min="1" max="1" width="13.421875" style="1" bestFit="1" customWidth="1"/>
    <col min="2" max="2" width="14.28125" style="1" customWidth="1"/>
    <col min="3" max="3" width="12.57421875" style="27" customWidth="1"/>
    <col min="4" max="4" width="12.57421875" style="34" customWidth="1"/>
    <col min="5" max="5" width="12.57421875" style="27" customWidth="1"/>
    <col min="6" max="6" width="12.57421875" style="34" customWidth="1"/>
    <col min="7" max="7" width="12.57421875" style="27" customWidth="1"/>
    <col min="8" max="8" width="12.57421875" style="34" customWidth="1"/>
    <col min="9" max="10" width="12.57421875" style="3" customWidth="1"/>
    <col min="11" max="11" width="12.57421875" style="27" customWidth="1"/>
    <col min="12" max="12" width="12.57421875" style="34" customWidth="1"/>
    <col min="13" max="13" width="12.57421875" style="1" customWidth="1"/>
    <col min="14" max="16" width="12.57421875" style="9" customWidth="1"/>
    <col min="17" max="17" width="9.140625" style="9" customWidth="1"/>
    <col min="18" max="18" width="9.140625" style="10" customWidth="1"/>
    <col min="19" max="16384" width="9.140625" style="1" customWidth="1"/>
  </cols>
  <sheetData>
    <row r="1" spans="1:11" ht="13.5" thickBot="1">
      <c r="A1" s="151" t="s">
        <v>623</v>
      </c>
      <c r="B1" s="151"/>
      <c r="C1" s="373"/>
      <c r="E1" s="373"/>
      <c r="G1" s="373"/>
      <c r="I1" s="593"/>
      <c r="J1" s="593"/>
      <c r="K1" s="593"/>
    </row>
    <row r="2" spans="1:16" ht="13.5" thickBot="1">
      <c r="A2" s="38"/>
      <c r="B2" s="38"/>
      <c r="C2" s="591">
        <v>2010</v>
      </c>
      <c r="D2" s="592"/>
      <c r="E2" s="591">
        <v>2009</v>
      </c>
      <c r="F2" s="592"/>
      <c r="G2" s="583" t="s">
        <v>766</v>
      </c>
      <c r="H2" s="584"/>
      <c r="I2" s="583" t="s">
        <v>767</v>
      </c>
      <c r="J2" s="584"/>
      <c r="K2" s="583" t="s">
        <v>765</v>
      </c>
      <c r="L2" s="584"/>
      <c r="M2" s="583" t="s">
        <v>780</v>
      </c>
      <c r="N2" s="584"/>
      <c r="O2" s="583" t="s">
        <v>779</v>
      </c>
      <c r="P2" s="584"/>
    </row>
    <row r="3" spans="1:18" s="11" customFormat="1" ht="13.5" thickBot="1">
      <c r="A3" s="337" t="s">
        <v>169</v>
      </c>
      <c r="B3" s="338" t="s">
        <v>622</v>
      </c>
      <c r="C3" s="339" t="s">
        <v>775</v>
      </c>
      <c r="D3" s="340" t="s">
        <v>776</v>
      </c>
      <c r="E3" s="339" t="s">
        <v>775</v>
      </c>
      <c r="F3" s="340" t="s">
        <v>776</v>
      </c>
      <c r="G3" s="339" t="s">
        <v>775</v>
      </c>
      <c r="H3" s="340" t="s">
        <v>776</v>
      </c>
      <c r="I3" s="339" t="s">
        <v>775</v>
      </c>
      <c r="J3" s="340" t="s">
        <v>776</v>
      </c>
      <c r="K3" s="339" t="s">
        <v>775</v>
      </c>
      <c r="L3" s="340" t="s">
        <v>776</v>
      </c>
      <c r="M3" s="339" t="s">
        <v>775</v>
      </c>
      <c r="N3" s="340" t="s">
        <v>776</v>
      </c>
      <c r="O3" s="339" t="s">
        <v>775</v>
      </c>
      <c r="P3" s="340" t="s">
        <v>776</v>
      </c>
      <c r="Q3" s="15"/>
      <c r="R3" s="16"/>
    </row>
    <row r="4" spans="1:29" ht="12.75">
      <c r="A4" s="585" t="s">
        <v>772</v>
      </c>
      <c r="B4" s="586"/>
      <c r="C4" s="586"/>
      <c r="D4" s="586"/>
      <c r="E4" s="586"/>
      <c r="F4" s="586"/>
      <c r="G4" s="586"/>
      <c r="H4" s="586"/>
      <c r="I4" s="586"/>
      <c r="J4" s="586"/>
      <c r="K4" s="586"/>
      <c r="L4" s="586"/>
      <c r="M4" s="586"/>
      <c r="N4" s="586"/>
      <c r="O4" s="586"/>
      <c r="P4" s="587"/>
      <c r="Q4" s="15"/>
      <c r="R4" s="16"/>
      <c r="S4" s="38"/>
      <c r="T4" s="38"/>
      <c r="U4" s="38"/>
      <c r="V4" s="38"/>
      <c r="W4" s="38"/>
      <c r="X4" s="38"/>
      <c r="Y4" s="38"/>
      <c r="Z4" s="38"/>
      <c r="AA4" s="38"/>
      <c r="AB4" s="38"/>
      <c r="AC4" s="38"/>
    </row>
    <row r="5" spans="1:29" ht="12.75">
      <c r="A5" s="309" t="s">
        <v>469</v>
      </c>
      <c r="B5" s="326">
        <v>1</v>
      </c>
      <c r="C5" s="323">
        <v>13954</v>
      </c>
      <c r="D5" s="234">
        <f aca="true" t="shared" si="0" ref="D5:D10">C5*1000/$B5</f>
        <v>13954000</v>
      </c>
      <c r="E5" s="323">
        <v>13954</v>
      </c>
      <c r="F5" s="234">
        <f aca="true" t="shared" si="1" ref="F5:F10">E5*1000/$B5</f>
        <v>13954000</v>
      </c>
      <c r="G5" s="323">
        <v>13954</v>
      </c>
      <c r="H5" s="234">
        <f aca="true" t="shared" si="2" ref="H5:J10">G5*1000/$B5</f>
        <v>13954000</v>
      </c>
      <c r="I5" s="323">
        <v>13954</v>
      </c>
      <c r="J5" s="234">
        <f t="shared" si="2"/>
        <v>13954000</v>
      </c>
      <c r="K5" s="323">
        <v>13954</v>
      </c>
      <c r="L5" s="234">
        <f aca="true" t="shared" si="3" ref="L5:L10">K5*1000/$B5</f>
        <v>13954000</v>
      </c>
      <c r="M5" s="323">
        <v>13954</v>
      </c>
      <c r="N5" s="234">
        <f aca="true" t="shared" si="4" ref="N5:N10">M5*1000/$B5</f>
        <v>13954000</v>
      </c>
      <c r="O5" s="323">
        <v>13954</v>
      </c>
      <c r="P5" s="234">
        <f aca="true" t="shared" si="5" ref="P5:P10">O5*1000/$B5</f>
        <v>13954000</v>
      </c>
      <c r="Q5" s="15"/>
      <c r="R5" s="16"/>
      <c r="S5" s="38"/>
      <c r="T5" s="38"/>
      <c r="U5" s="38"/>
      <c r="V5" s="38"/>
      <c r="W5" s="38"/>
      <c r="X5" s="38"/>
      <c r="Y5" s="38"/>
      <c r="Z5" s="38"/>
      <c r="AA5" s="38"/>
      <c r="AB5" s="38"/>
      <c r="AC5" s="38"/>
    </row>
    <row r="6" spans="1:29" ht="12.75">
      <c r="A6" s="152" t="s">
        <v>470</v>
      </c>
      <c r="B6" s="327">
        <f>'Ave weights'!Q192</f>
        <v>7.5</v>
      </c>
      <c r="C6" s="323">
        <v>478850</v>
      </c>
      <c r="D6" s="234">
        <f t="shared" si="0"/>
        <v>63846666.666666664</v>
      </c>
      <c r="E6" s="323">
        <v>475950</v>
      </c>
      <c r="F6" s="234">
        <f t="shared" si="1"/>
        <v>63460000</v>
      </c>
      <c r="G6" s="323">
        <v>514920</v>
      </c>
      <c r="H6" s="234">
        <f t="shared" si="2"/>
        <v>68656000</v>
      </c>
      <c r="I6" s="323">
        <v>563900</v>
      </c>
      <c r="J6" s="234">
        <f t="shared" si="2"/>
        <v>75186666.66666667</v>
      </c>
      <c r="K6" s="153">
        <v>568900</v>
      </c>
      <c r="L6" s="234">
        <f t="shared" si="3"/>
        <v>75853333.33333333</v>
      </c>
      <c r="M6" s="153">
        <v>605530</v>
      </c>
      <c r="N6" s="234">
        <f t="shared" si="4"/>
        <v>80737333.33333333</v>
      </c>
      <c r="O6" s="153">
        <v>630450</v>
      </c>
      <c r="P6" s="234">
        <f t="shared" si="5"/>
        <v>84060000</v>
      </c>
      <c r="Q6" s="15"/>
      <c r="R6" s="16"/>
      <c r="S6" s="38"/>
      <c r="T6" s="38"/>
      <c r="U6" s="38"/>
      <c r="V6" s="38"/>
      <c r="W6" s="38"/>
      <c r="X6" s="38"/>
      <c r="Y6" s="38"/>
      <c r="Z6" s="38"/>
      <c r="AA6" s="38"/>
      <c r="AB6" s="38"/>
      <c r="AC6" s="38"/>
    </row>
    <row r="7" spans="1:29" ht="12.75">
      <c r="A7" s="152" t="s">
        <v>471</v>
      </c>
      <c r="B7" s="327">
        <f>'Ave weights'!Q193</f>
        <v>10.945535551948998</v>
      </c>
      <c r="C7" s="323">
        <v>43066</v>
      </c>
      <c r="D7" s="234">
        <f t="shared" si="0"/>
        <v>3934572.2094275714</v>
      </c>
      <c r="E7" s="323">
        <v>31028</v>
      </c>
      <c r="F7" s="234">
        <f t="shared" si="1"/>
        <v>2834763.073285624</v>
      </c>
      <c r="G7" s="323">
        <v>36848</v>
      </c>
      <c r="H7" s="234">
        <f t="shared" si="2"/>
        <v>3366486.712789373</v>
      </c>
      <c r="I7" s="323">
        <v>24253</v>
      </c>
      <c r="J7" s="234">
        <f t="shared" si="2"/>
        <v>2215789.248949215</v>
      </c>
      <c r="K7" s="153">
        <v>23115</v>
      </c>
      <c r="L7" s="234">
        <f t="shared" si="3"/>
        <v>2111819.9187507154</v>
      </c>
      <c r="M7" s="153">
        <v>20726</v>
      </c>
      <c r="N7" s="234">
        <f t="shared" si="4"/>
        <v>1893557.4144939359</v>
      </c>
      <c r="O7" s="153">
        <v>33416</v>
      </c>
      <c r="P7" s="234">
        <f t="shared" si="5"/>
        <v>3052934.216092317</v>
      </c>
      <c r="Q7" s="15"/>
      <c r="R7" s="16"/>
      <c r="S7" s="38"/>
      <c r="T7" s="38"/>
      <c r="U7" s="38"/>
      <c r="V7" s="38"/>
      <c r="W7" s="38"/>
      <c r="X7" s="38"/>
      <c r="Y7" s="38"/>
      <c r="Z7" s="38"/>
      <c r="AA7" s="38"/>
      <c r="AB7" s="38"/>
      <c r="AC7" s="38"/>
    </row>
    <row r="8" spans="1:29" ht="12.75">
      <c r="A8" s="152" t="s">
        <v>134</v>
      </c>
      <c r="B8" s="327">
        <f>'Ave weights'!Q194</f>
        <v>16.181504321066665</v>
      </c>
      <c r="C8" s="323">
        <v>8531</v>
      </c>
      <c r="D8" s="234">
        <f t="shared" si="0"/>
        <v>527206.8548591931</v>
      </c>
      <c r="E8" s="323">
        <v>8534</v>
      </c>
      <c r="F8" s="234">
        <f t="shared" si="1"/>
        <v>527392.2517135569</v>
      </c>
      <c r="G8" s="323">
        <v>11980</v>
      </c>
      <c r="H8" s="234">
        <f t="shared" si="2"/>
        <v>740351.4384261088</v>
      </c>
      <c r="I8" s="323">
        <v>11239</v>
      </c>
      <c r="J8" s="234">
        <f t="shared" si="2"/>
        <v>694558.4153982501</v>
      </c>
      <c r="K8" s="153">
        <v>11925</v>
      </c>
      <c r="L8" s="234">
        <f t="shared" si="3"/>
        <v>736952.4960961058</v>
      </c>
      <c r="M8" s="153">
        <v>12010</v>
      </c>
      <c r="N8" s="234">
        <f t="shared" si="4"/>
        <v>742205.4069697468</v>
      </c>
      <c r="O8" s="153">
        <v>11500</v>
      </c>
      <c r="P8" s="234">
        <f t="shared" si="5"/>
        <v>710687.9417279008</v>
      </c>
      <c r="Q8" s="15"/>
      <c r="R8" s="16"/>
      <c r="S8" s="38"/>
      <c r="T8" s="38"/>
      <c r="U8" s="38"/>
      <c r="V8" s="38"/>
      <c r="W8" s="38"/>
      <c r="X8" s="38"/>
      <c r="Y8" s="38"/>
      <c r="Z8" s="38"/>
      <c r="AA8" s="38"/>
      <c r="AB8" s="38"/>
      <c r="AC8" s="38"/>
    </row>
    <row r="9" spans="1:29" ht="12.75">
      <c r="A9" s="152" t="s">
        <v>472</v>
      </c>
      <c r="B9" s="328">
        <f>'Ave weights'!Q195</f>
        <v>1.5</v>
      </c>
      <c r="C9" s="323">
        <v>22000</v>
      </c>
      <c r="D9" s="234">
        <f t="shared" si="0"/>
        <v>14666666.666666666</v>
      </c>
      <c r="E9" s="323">
        <v>22000</v>
      </c>
      <c r="F9" s="234">
        <f t="shared" si="1"/>
        <v>14666666.666666666</v>
      </c>
      <c r="G9" s="323">
        <v>20000</v>
      </c>
      <c r="H9" s="234">
        <f t="shared" si="2"/>
        <v>13333333.333333334</v>
      </c>
      <c r="I9" s="323">
        <v>20000</v>
      </c>
      <c r="J9" s="234">
        <f t="shared" si="2"/>
        <v>13333333.333333334</v>
      </c>
      <c r="K9" s="153">
        <v>20000</v>
      </c>
      <c r="L9" s="234">
        <f t="shared" si="3"/>
        <v>13333333.333333334</v>
      </c>
      <c r="M9" s="153">
        <v>17203</v>
      </c>
      <c r="N9" s="234">
        <f t="shared" si="4"/>
        <v>11468666.666666666</v>
      </c>
      <c r="O9" s="153">
        <v>20000</v>
      </c>
      <c r="P9" s="234">
        <f t="shared" si="5"/>
        <v>13333333.333333334</v>
      </c>
      <c r="Q9" s="15"/>
      <c r="R9" s="16"/>
      <c r="S9" s="38"/>
      <c r="T9" s="38"/>
      <c r="U9" s="38"/>
      <c r="V9" s="38"/>
      <c r="W9" s="38"/>
      <c r="X9" s="38"/>
      <c r="Y9" s="38"/>
      <c r="Z9" s="38"/>
      <c r="AA9" s="38"/>
      <c r="AB9" s="38"/>
      <c r="AC9" s="38"/>
    </row>
    <row r="10" spans="1:29" ht="13.5" thickBot="1">
      <c r="A10" s="313" t="s">
        <v>473</v>
      </c>
      <c r="B10" s="328">
        <v>13.125</v>
      </c>
      <c r="C10" s="374">
        <v>33952</v>
      </c>
      <c r="D10" s="234">
        <f t="shared" si="0"/>
        <v>2586819.0476190476</v>
      </c>
      <c r="E10" s="374">
        <v>36685</v>
      </c>
      <c r="F10" s="234">
        <f t="shared" si="1"/>
        <v>2795047.619047619</v>
      </c>
      <c r="G10" s="374">
        <v>35744</v>
      </c>
      <c r="H10" s="234">
        <f t="shared" si="2"/>
        <v>2723352.380952381</v>
      </c>
      <c r="I10" s="330">
        <v>49051</v>
      </c>
      <c r="J10" s="234">
        <f t="shared" si="2"/>
        <v>3737219.0476190476</v>
      </c>
      <c r="K10" s="311">
        <v>49659</v>
      </c>
      <c r="L10" s="234">
        <f t="shared" si="3"/>
        <v>3783542.8571428573</v>
      </c>
      <c r="M10" s="311">
        <v>60636</v>
      </c>
      <c r="N10" s="234">
        <f t="shared" si="4"/>
        <v>4619885.714285715</v>
      </c>
      <c r="O10" s="311">
        <v>54976</v>
      </c>
      <c r="P10" s="234">
        <f t="shared" si="5"/>
        <v>4188647.619047619</v>
      </c>
      <c r="Q10" s="15"/>
      <c r="R10" s="16"/>
      <c r="S10" s="38"/>
      <c r="T10" s="38"/>
      <c r="U10" s="38"/>
      <c r="V10" s="38"/>
      <c r="W10" s="38"/>
      <c r="X10" s="38"/>
      <c r="Y10" s="38"/>
      <c r="Z10" s="38"/>
      <c r="AA10" s="38"/>
      <c r="AB10" s="38"/>
      <c r="AC10" s="38"/>
    </row>
    <row r="11" spans="1:29" ht="14.25" thickBot="1" thickTop="1">
      <c r="A11" s="314" t="s">
        <v>774</v>
      </c>
      <c r="B11" s="329" t="s">
        <v>624</v>
      </c>
      <c r="C11" s="325">
        <f aca="true" t="shared" si="6" ref="C11:H11">SUM(C5:C10)</f>
        <v>600353</v>
      </c>
      <c r="D11" s="315">
        <f t="shared" si="6"/>
        <v>99515931.44523913</v>
      </c>
      <c r="E11" s="325">
        <f t="shared" si="6"/>
        <v>588151</v>
      </c>
      <c r="F11" s="315">
        <f t="shared" si="6"/>
        <v>98237869.61071347</v>
      </c>
      <c r="G11" s="325">
        <f t="shared" si="6"/>
        <v>633446</v>
      </c>
      <c r="H11" s="315">
        <f t="shared" si="6"/>
        <v>102773523.8655012</v>
      </c>
      <c r="I11" s="325">
        <f aca="true" t="shared" si="7" ref="I11:P11">SUM(I5:I10)</f>
        <v>682397</v>
      </c>
      <c r="J11" s="324">
        <f t="shared" si="7"/>
        <v>109121566.71196651</v>
      </c>
      <c r="K11" s="325">
        <f t="shared" si="7"/>
        <v>687553</v>
      </c>
      <c r="L11" s="315">
        <f t="shared" si="7"/>
        <v>109772981.93865633</v>
      </c>
      <c r="M11" s="312">
        <f t="shared" si="7"/>
        <v>730059</v>
      </c>
      <c r="N11" s="315">
        <f t="shared" si="7"/>
        <v>113415648.53574939</v>
      </c>
      <c r="O11" s="312">
        <f t="shared" si="7"/>
        <v>764296</v>
      </c>
      <c r="P11" s="315">
        <f t="shared" si="7"/>
        <v>119299603.11020117</v>
      </c>
      <c r="Q11" s="15"/>
      <c r="R11" s="16"/>
      <c r="S11" s="38"/>
      <c r="T11" s="38"/>
      <c r="U11" s="38"/>
      <c r="V11" s="38"/>
      <c r="W11" s="38"/>
      <c r="X11" s="38"/>
      <c r="Y11" s="38"/>
      <c r="Z11" s="38"/>
      <c r="AA11" s="38"/>
      <c r="AB11" s="38"/>
      <c r="AC11" s="38"/>
    </row>
    <row r="12" spans="1:29" ht="12.75">
      <c r="A12" s="588" t="s">
        <v>773</v>
      </c>
      <c r="B12" s="589"/>
      <c r="C12" s="589"/>
      <c r="D12" s="589"/>
      <c r="E12" s="589"/>
      <c r="F12" s="589"/>
      <c r="G12" s="589"/>
      <c r="H12" s="589"/>
      <c r="I12" s="589"/>
      <c r="J12" s="589"/>
      <c r="K12" s="589"/>
      <c r="L12" s="589"/>
      <c r="M12" s="589"/>
      <c r="N12" s="589"/>
      <c r="O12" s="589"/>
      <c r="P12" s="590"/>
      <c r="Q12" s="15"/>
      <c r="R12" s="16"/>
      <c r="S12" s="38"/>
      <c r="T12" s="38"/>
      <c r="U12" s="38"/>
      <c r="V12" s="38"/>
      <c r="W12" s="38"/>
      <c r="X12" s="38"/>
      <c r="Y12" s="38"/>
      <c r="Z12" s="38"/>
      <c r="AA12" s="38"/>
      <c r="AB12" s="38"/>
      <c r="AC12" s="38"/>
    </row>
    <row r="13" spans="1:29" ht="12.75">
      <c r="A13" s="316" t="s">
        <v>617</v>
      </c>
      <c r="B13" s="331">
        <v>0.8504315476190476</v>
      </c>
      <c r="C13" s="334">
        <v>9182</v>
      </c>
      <c r="D13" s="317">
        <f>C13*1000/$B13</f>
        <v>10796871.336331345</v>
      </c>
      <c r="E13" s="334">
        <v>10203</v>
      </c>
      <c r="F13" s="317">
        <f>E13*1000/$B13</f>
        <v>11997438.275385397</v>
      </c>
      <c r="G13" s="334">
        <v>9126</v>
      </c>
      <c r="H13" s="317">
        <f>G13*1000/$B13</f>
        <v>10731022.415090378</v>
      </c>
      <c r="I13" s="334">
        <v>10743</v>
      </c>
      <c r="J13" s="317">
        <f>I13*1000/$B13</f>
        <v>12632410.015923288</v>
      </c>
      <c r="K13" s="154">
        <v>11307</v>
      </c>
      <c r="L13" s="317">
        <f>K13*1000/$B13</f>
        <v>13295602.722707309</v>
      </c>
      <c r="M13" s="154">
        <v>12564</v>
      </c>
      <c r="N13" s="317">
        <f>M13*1000/$B13</f>
        <v>14773675.829848291</v>
      </c>
      <c r="O13" s="154">
        <v>20967</v>
      </c>
      <c r="P13" s="317">
        <f>O13*1000/$B13</f>
        <v>24654541.63677405</v>
      </c>
      <c r="Q13" s="15"/>
      <c r="R13" s="16"/>
      <c r="S13" s="38"/>
      <c r="T13" s="38"/>
      <c r="U13" s="38"/>
      <c r="V13" s="38"/>
      <c r="W13" s="38"/>
      <c r="X13" s="38"/>
      <c r="Y13" s="38"/>
      <c r="Z13" s="38"/>
      <c r="AA13" s="38"/>
      <c r="AB13" s="38"/>
      <c r="AC13" s="38"/>
    </row>
    <row r="14" spans="1:29" ht="12.75">
      <c r="A14" s="316" t="s">
        <v>618</v>
      </c>
      <c r="B14" s="331">
        <f>AVERAGE('Ave weights'!Q140)</f>
        <v>0.3125</v>
      </c>
      <c r="C14" s="334">
        <v>116716</v>
      </c>
      <c r="D14" s="317">
        <f>C14*1000/$B14</f>
        <v>373491200</v>
      </c>
      <c r="E14" s="334">
        <v>102993</v>
      </c>
      <c r="F14" s="317">
        <f>E14*1000/$B14</f>
        <v>329577600</v>
      </c>
      <c r="G14" s="334">
        <v>117473</v>
      </c>
      <c r="H14" s="317">
        <f>G14*1000/$B14</f>
        <v>375913600</v>
      </c>
      <c r="I14" s="334">
        <v>114623</v>
      </c>
      <c r="J14" s="317">
        <f>I14*1000/$B14</f>
        <v>366793600</v>
      </c>
      <c r="K14" s="154">
        <v>83714</v>
      </c>
      <c r="L14" s="317">
        <f>K14*1000/$B14</f>
        <v>267884800</v>
      </c>
      <c r="M14" s="154">
        <v>77539</v>
      </c>
      <c r="N14" s="317">
        <f>M14*1000/$B14</f>
        <v>248124800</v>
      </c>
      <c r="O14" s="154">
        <v>70383</v>
      </c>
      <c r="P14" s="317">
        <f>O14*1000/$B14</f>
        <v>225225600</v>
      </c>
      <c r="Q14" s="15"/>
      <c r="R14" s="16"/>
      <c r="S14" s="38"/>
      <c r="T14" s="38"/>
      <c r="U14" s="38"/>
      <c r="V14" s="38"/>
      <c r="W14" s="38"/>
      <c r="X14" s="38"/>
      <c r="Y14" s="38"/>
      <c r="Z14" s="38"/>
      <c r="AA14" s="38"/>
      <c r="AB14" s="38"/>
      <c r="AC14" s="38"/>
    </row>
    <row r="15" spans="1:29" ht="12.75">
      <c r="A15" s="316" t="s">
        <v>619</v>
      </c>
      <c r="B15" s="331">
        <f>AVERAGE('Ave weights'!Q147)</f>
        <v>0.02</v>
      </c>
      <c r="C15" s="334">
        <v>886</v>
      </c>
      <c r="D15" s="317">
        <f>C15*1000/$B15</f>
        <v>44300000</v>
      </c>
      <c r="E15" s="334">
        <v>733</v>
      </c>
      <c r="F15" s="317">
        <f>E15*1000/$B15</f>
        <v>36650000</v>
      </c>
      <c r="G15" s="334">
        <v>721</v>
      </c>
      <c r="H15" s="317">
        <f>G15*1000/$B15</f>
        <v>36050000</v>
      </c>
      <c r="I15" s="334">
        <v>853</v>
      </c>
      <c r="J15" s="317">
        <f>I15*1000/$B15</f>
        <v>42650000</v>
      </c>
      <c r="K15" s="154">
        <v>1008</v>
      </c>
      <c r="L15" s="317">
        <f>K15*1000/$B15</f>
        <v>50400000</v>
      </c>
      <c r="M15" s="154">
        <v>962</v>
      </c>
      <c r="N15" s="317">
        <f>M15*1000/$B15</f>
        <v>48100000</v>
      </c>
      <c r="O15" s="154">
        <v>593</v>
      </c>
      <c r="P15" s="317">
        <f>O15*1000/$B15</f>
        <v>29650000</v>
      </c>
      <c r="Q15" s="15"/>
      <c r="R15" s="16"/>
      <c r="S15" s="38"/>
      <c r="T15" s="38"/>
      <c r="U15" s="38"/>
      <c r="V15" s="38"/>
      <c r="W15" s="38"/>
      <c r="X15" s="38"/>
      <c r="Y15" s="38"/>
      <c r="Z15" s="38"/>
      <c r="AA15" s="38"/>
      <c r="AB15" s="38"/>
      <c r="AC15" s="38"/>
    </row>
    <row r="16" spans="1:29" ht="12.75">
      <c r="A16" s="316" t="s">
        <v>309</v>
      </c>
      <c r="B16" s="331">
        <f>AVERAGE('Ave weights'!Q149)</f>
        <v>0.024043761022927688</v>
      </c>
      <c r="C16" s="334">
        <v>36864</v>
      </c>
      <c r="D16" s="317">
        <f>C16*1000/$B16</f>
        <v>1533204391.9770775</v>
      </c>
      <c r="E16" s="334">
        <v>32046</v>
      </c>
      <c r="F16" s="317">
        <f>E16*1000/$B16</f>
        <v>1332819768.4813755</v>
      </c>
      <c r="G16" s="334">
        <v>32514</v>
      </c>
      <c r="H16" s="317">
        <f>G16*1000/$B16</f>
        <v>1352284277.3638968</v>
      </c>
      <c r="I16" s="334">
        <v>20944</v>
      </c>
      <c r="J16" s="317">
        <f>I16*1000/$B16</f>
        <v>871078363.3237823</v>
      </c>
      <c r="K16" s="154">
        <v>22046</v>
      </c>
      <c r="L16" s="317">
        <f>K16*1000/$B16</f>
        <v>916911459.0257881</v>
      </c>
      <c r="M16" s="154">
        <v>13711</v>
      </c>
      <c r="N16" s="317">
        <f>M16*1000/$B16</f>
        <v>570251883.094556</v>
      </c>
      <c r="O16" s="154">
        <v>26214</v>
      </c>
      <c r="P16" s="317">
        <f>O16*1000/$B16</f>
        <v>1090262042.4068768</v>
      </c>
      <c r="Q16" s="15"/>
      <c r="R16" s="16"/>
      <c r="S16" s="38"/>
      <c r="T16" s="38"/>
      <c r="U16" s="38"/>
      <c r="V16" s="38"/>
      <c r="W16" s="38"/>
      <c r="X16" s="38"/>
      <c r="Y16" s="38"/>
      <c r="Z16" s="38"/>
      <c r="AA16" s="38"/>
      <c r="AB16" s="38"/>
      <c r="AC16" s="38"/>
    </row>
    <row r="17" spans="1:29" ht="13.5" thickBot="1">
      <c r="A17" s="318" t="s">
        <v>620</v>
      </c>
      <c r="B17" s="332">
        <v>0.05511463844797178</v>
      </c>
      <c r="C17" s="375">
        <v>2974</v>
      </c>
      <c r="D17" s="317">
        <f>C17*1000/$B17</f>
        <v>53960256</v>
      </c>
      <c r="E17" s="375">
        <v>3801</v>
      </c>
      <c r="F17" s="317">
        <f>E17*1000/$B17</f>
        <v>68965344</v>
      </c>
      <c r="G17" s="375">
        <v>4259</v>
      </c>
      <c r="H17" s="317">
        <f>G17*1000/$B17</f>
        <v>77275296</v>
      </c>
      <c r="I17" s="416">
        <v>6001</v>
      </c>
      <c r="J17" s="317">
        <f>I17*1000/$B17</f>
        <v>108882144</v>
      </c>
      <c r="K17" s="310">
        <v>7800</v>
      </c>
      <c r="L17" s="317">
        <f>K17*1000/$B17</f>
        <v>141523200</v>
      </c>
      <c r="M17" s="310">
        <v>8999</v>
      </c>
      <c r="N17" s="317">
        <f>M17*1000/$B17</f>
        <v>163277856</v>
      </c>
      <c r="O17" s="310">
        <v>12101</v>
      </c>
      <c r="P17" s="317">
        <f>O17*1000/$B17</f>
        <v>219560544</v>
      </c>
      <c r="Q17" s="15"/>
      <c r="R17" s="16"/>
      <c r="S17" s="38"/>
      <c r="T17" s="38"/>
      <c r="U17" s="38"/>
      <c r="V17" s="38"/>
      <c r="W17" s="38"/>
      <c r="X17" s="38"/>
      <c r="Y17" s="38"/>
      <c r="Z17" s="38"/>
      <c r="AA17" s="38"/>
      <c r="AB17" s="38"/>
      <c r="AC17" s="38"/>
    </row>
    <row r="18" spans="1:29" ht="14.25" thickBot="1" thickTop="1">
      <c r="A18" s="319" t="s">
        <v>777</v>
      </c>
      <c r="B18" s="333" t="s">
        <v>624</v>
      </c>
      <c r="C18" s="335">
        <f aca="true" t="shared" si="8" ref="C18:H18">SUM(C13:C17)</f>
        <v>166622</v>
      </c>
      <c r="D18" s="321">
        <f t="shared" si="8"/>
        <v>2015752719.3134089</v>
      </c>
      <c r="E18" s="335">
        <f t="shared" si="8"/>
        <v>149776</v>
      </c>
      <c r="F18" s="321">
        <f t="shared" si="8"/>
        <v>1780010150.7567608</v>
      </c>
      <c r="G18" s="335">
        <f t="shared" si="8"/>
        <v>164093</v>
      </c>
      <c r="H18" s="321">
        <f t="shared" si="8"/>
        <v>1852254195.7789872</v>
      </c>
      <c r="I18" s="335">
        <f aca="true" t="shared" si="9" ref="I18:P18">SUM(I13:I17)</f>
        <v>153164</v>
      </c>
      <c r="J18" s="336">
        <f t="shared" si="9"/>
        <v>1402036517.3397055</v>
      </c>
      <c r="K18" s="335">
        <f t="shared" si="9"/>
        <v>125875</v>
      </c>
      <c r="L18" s="321">
        <f t="shared" si="9"/>
        <v>1390015061.7484953</v>
      </c>
      <c r="M18" s="320">
        <f t="shared" si="9"/>
        <v>113775</v>
      </c>
      <c r="N18" s="321">
        <f t="shared" si="9"/>
        <v>1044528214.9244043</v>
      </c>
      <c r="O18" s="320">
        <f t="shared" si="9"/>
        <v>130258</v>
      </c>
      <c r="P18" s="321">
        <f t="shared" si="9"/>
        <v>1589352728.0436509</v>
      </c>
      <c r="Q18" s="15"/>
      <c r="R18" s="16"/>
      <c r="S18" s="38"/>
      <c r="T18" s="38"/>
      <c r="U18" s="38"/>
      <c r="V18" s="38"/>
      <c r="W18" s="38"/>
      <c r="X18" s="38"/>
      <c r="Y18" s="38"/>
      <c r="Z18" s="38"/>
      <c r="AA18" s="38"/>
      <c r="AB18" s="38"/>
      <c r="AC18" s="38"/>
    </row>
    <row r="19" spans="1:29" ht="14.25" thickBot="1" thickTop="1">
      <c r="A19" s="322" t="s">
        <v>741</v>
      </c>
      <c r="B19" s="525"/>
      <c r="C19" s="526">
        <f aca="true" t="shared" si="10" ref="C19:H19">C11+C18</f>
        <v>766975</v>
      </c>
      <c r="D19" s="527">
        <f t="shared" si="10"/>
        <v>2115268650.758648</v>
      </c>
      <c r="E19" s="526">
        <f t="shared" si="10"/>
        <v>737927</v>
      </c>
      <c r="F19" s="527">
        <f t="shared" si="10"/>
        <v>1878248020.3674743</v>
      </c>
      <c r="G19" s="526">
        <f t="shared" si="10"/>
        <v>797539</v>
      </c>
      <c r="H19" s="527">
        <f t="shared" si="10"/>
        <v>1955027719.6444883</v>
      </c>
      <c r="I19" s="526">
        <f aca="true" t="shared" si="11" ref="I19:P19">I11+I18</f>
        <v>835561</v>
      </c>
      <c r="J19" s="528">
        <f t="shared" si="11"/>
        <v>1511158084.051672</v>
      </c>
      <c r="K19" s="526">
        <f t="shared" si="11"/>
        <v>813428</v>
      </c>
      <c r="L19" s="527">
        <f t="shared" si="11"/>
        <v>1499788043.6871517</v>
      </c>
      <c r="M19" s="529">
        <f t="shared" si="11"/>
        <v>843834</v>
      </c>
      <c r="N19" s="527">
        <f t="shared" si="11"/>
        <v>1157943863.4601536</v>
      </c>
      <c r="O19" s="529">
        <f t="shared" si="11"/>
        <v>894554</v>
      </c>
      <c r="P19" s="527">
        <f t="shared" si="11"/>
        <v>1708652331.153852</v>
      </c>
      <c r="Q19" s="15"/>
      <c r="R19" s="16"/>
      <c r="S19" s="38"/>
      <c r="T19" s="38"/>
      <c r="U19" s="38"/>
      <c r="V19" s="38"/>
      <c r="W19" s="38"/>
      <c r="X19" s="38"/>
      <c r="Y19" s="38"/>
      <c r="Z19" s="38"/>
      <c r="AA19" s="38"/>
      <c r="AB19" s="38"/>
      <c r="AC19" s="38"/>
    </row>
    <row r="20" spans="1:29" ht="13.5" thickTop="1">
      <c r="A20" s="38"/>
      <c r="B20" s="38"/>
      <c r="D20" s="41"/>
      <c r="F20" s="41"/>
      <c r="H20" s="41"/>
      <c r="I20" s="39"/>
      <c r="J20" s="39"/>
      <c r="L20" s="41"/>
      <c r="M20" s="38"/>
      <c r="N20" s="15"/>
      <c r="O20" s="15"/>
      <c r="P20" s="15"/>
      <c r="Q20" s="15"/>
      <c r="R20" s="16"/>
      <c r="S20" s="38"/>
      <c r="T20" s="38"/>
      <c r="U20" s="38"/>
      <c r="V20" s="38"/>
      <c r="W20" s="38"/>
      <c r="X20" s="38"/>
      <c r="Y20" s="38"/>
      <c r="Z20" s="38"/>
      <c r="AA20" s="38"/>
      <c r="AB20" s="38"/>
      <c r="AC20" s="38"/>
    </row>
    <row r="21" spans="1:29" ht="13.5" thickBot="1">
      <c r="A21" s="530" t="s">
        <v>367</v>
      </c>
      <c r="B21" s="38"/>
      <c r="C21" s="40"/>
      <c r="D21" s="41"/>
      <c r="E21" s="40"/>
      <c r="F21" s="41"/>
      <c r="G21" s="40"/>
      <c r="H21" s="41"/>
      <c r="I21" s="39"/>
      <c r="J21" s="39"/>
      <c r="K21" s="40"/>
      <c r="L21" s="41"/>
      <c r="M21" s="38"/>
      <c r="N21" s="15"/>
      <c r="O21" s="15"/>
      <c r="P21" s="15"/>
      <c r="Q21" s="15"/>
      <c r="R21" s="16"/>
      <c r="S21" s="38"/>
      <c r="T21" s="38"/>
      <c r="U21" s="38"/>
      <c r="V21" s="38"/>
      <c r="W21" s="38"/>
      <c r="X21" s="38"/>
      <c r="Y21" s="38"/>
      <c r="Z21" s="38"/>
      <c r="AA21" s="38"/>
      <c r="AB21" s="38"/>
      <c r="AC21" s="38"/>
    </row>
    <row r="22" spans="1:29" s="10" customFormat="1" ht="13.5" thickTop="1">
      <c r="A22" s="524" t="s">
        <v>815</v>
      </c>
      <c r="B22" s="16"/>
      <c r="C22" s="228"/>
      <c r="D22" s="210"/>
      <c r="E22" s="228"/>
      <c r="F22" s="210"/>
      <c r="G22" s="228"/>
      <c r="H22" s="210"/>
      <c r="I22" s="210"/>
      <c r="J22" s="210"/>
      <c r="K22" s="228"/>
      <c r="L22" s="210"/>
      <c r="M22" s="16"/>
      <c r="N22" s="15"/>
      <c r="O22" s="15"/>
      <c r="P22" s="15"/>
      <c r="Q22" s="15"/>
      <c r="R22" s="16"/>
      <c r="S22" s="16"/>
      <c r="T22" s="16"/>
      <c r="U22" s="16"/>
      <c r="V22" s="16"/>
      <c r="W22" s="16"/>
      <c r="X22" s="16"/>
      <c r="Y22" s="16"/>
      <c r="Z22" s="16"/>
      <c r="AA22" s="16"/>
      <c r="AB22" s="16"/>
      <c r="AC22" s="16"/>
    </row>
    <row r="23" spans="1:29" s="10" customFormat="1" ht="12.75">
      <c r="A23" s="524" t="s">
        <v>816</v>
      </c>
      <c r="B23" s="16"/>
      <c r="C23" s="228"/>
      <c r="D23" s="210"/>
      <c r="E23" s="228"/>
      <c r="F23" s="210"/>
      <c r="G23" s="228"/>
      <c r="H23" s="210"/>
      <c r="I23" s="210"/>
      <c r="J23" s="210"/>
      <c r="K23" s="228"/>
      <c r="L23" s="210"/>
      <c r="M23" s="16"/>
      <c r="N23" s="15"/>
      <c r="O23" s="15"/>
      <c r="P23" s="15"/>
      <c r="Q23" s="15"/>
      <c r="R23" s="16"/>
      <c r="S23" s="16"/>
      <c r="T23" s="16"/>
      <c r="U23" s="16"/>
      <c r="V23" s="16"/>
      <c r="W23" s="16"/>
      <c r="X23" s="16"/>
      <c r="Y23" s="16"/>
      <c r="Z23" s="16"/>
      <c r="AA23" s="16"/>
      <c r="AB23" s="16"/>
      <c r="AC23" s="16"/>
    </row>
    <row r="24" spans="1:29" ht="12.75">
      <c r="A24" s="9" t="s">
        <v>778</v>
      </c>
      <c r="B24" s="38"/>
      <c r="C24" s="228"/>
      <c r="D24" s="41"/>
      <c r="E24" s="228"/>
      <c r="F24" s="41"/>
      <c r="G24" s="228"/>
      <c r="H24" s="41"/>
      <c r="I24" s="39"/>
      <c r="J24" s="39"/>
      <c r="K24" s="228"/>
      <c r="L24" s="41"/>
      <c r="M24" s="38"/>
      <c r="N24" s="15"/>
      <c r="O24" s="15"/>
      <c r="P24" s="15"/>
      <c r="Q24" s="15"/>
      <c r="R24" s="16"/>
      <c r="S24" s="38"/>
      <c r="T24" s="38"/>
      <c r="U24" s="38"/>
      <c r="V24" s="38"/>
      <c r="W24" s="38"/>
      <c r="X24" s="38"/>
      <c r="Y24" s="38"/>
      <c r="Z24" s="38"/>
      <c r="AA24" s="38"/>
      <c r="AB24" s="38"/>
      <c r="AC24" s="38"/>
    </row>
    <row r="25" spans="1:29" ht="12.75">
      <c r="A25" s="15" t="s">
        <v>781</v>
      </c>
      <c r="B25" s="38"/>
      <c r="C25" s="40"/>
      <c r="D25" s="41"/>
      <c r="E25" s="40"/>
      <c r="F25" s="41"/>
      <c r="G25" s="40"/>
      <c r="H25" s="41"/>
      <c r="I25" s="39"/>
      <c r="J25" s="39"/>
      <c r="K25" s="40"/>
      <c r="L25" s="41"/>
      <c r="M25" s="38"/>
      <c r="N25" s="15"/>
      <c r="O25" s="15"/>
      <c r="P25" s="15"/>
      <c r="Q25" s="15"/>
      <c r="R25" s="16"/>
      <c r="S25" s="38"/>
      <c r="T25" s="38"/>
      <c r="U25" s="38"/>
      <c r="V25" s="38"/>
      <c r="W25" s="38"/>
      <c r="X25" s="38"/>
      <c r="Y25" s="38"/>
      <c r="Z25" s="38"/>
      <c r="AA25" s="38"/>
      <c r="AB25" s="38"/>
      <c r="AC25" s="38"/>
    </row>
    <row r="26" spans="1:29" ht="12.75">
      <c r="A26" s="9" t="s">
        <v>782</v>
      </c>
      <c r="B26" s="38"/>
      <c r="C26" s="40"/>
      <c r="D26" s="41"/>
      <c r="E26" s="40"/>
      <c r="F26" s="41"/>
      <c r="G26" s="40"/>
      <c r="H26" s="41"/>
      <c r="I26" s="39"/>
      <c r="J26" s="39"/>
      <c r="K26" s="40"/>
      <c r="L26" s="41"/>
      <c r="M26" s="38"/>
      <c r="N26" s="15"/>
      <c r="O26" s="15"/>
      <c r="P26" s="15"/>
      <c r="Q26" s="15"/>
      <c r="R26" s="16"/>
      <c r="S26" s="38"/>
      <c r="T26" s="38"/>
      <c r="U26" s="38"/>
      <c r="V26" s="38"/>
      <c r="W26" s="38"/>
      <c r="X26" s="38"/>
      <c r="Y26" s="38"/>
      <c r="Z26" s="38"/>
      <c r="AA26" s="38"/>
      <c r="AB26" s="38"/>
      <c r="AC26" s="38"/>
    </row>
    <row r="27" spans="2:29" ht="12.75">
      <c r="B27" s="38"/>
      <c r="C27" s="40"/>
      <c r="D27" s="41"/>
      <c r="E27" s="40"/>
      <c r="F27" s="41"/>
      <c r="G27" s="40"/>
      <c r="H27" s="41"/>
      <c r="I27" s="39"/>
      <c r="J27" s="39"/>
      <c r="K27" s="40"/>
      <c r="L27" s="41"/>
      <c r="M27" s="38"/>
      <c r="N27" s="15"/>
      <c r="O27" s="15"/>
      <c r="P27" s="15"/>
      <c r="Q27" s="15"/>
      <c r="R27" s="16"/>
      <c r="S27" s="38"/>
      <c r="T27" s="38"/>
      <c r="U27" s="38"/>
      <c r="V27" s="38"/>
      <c r="W27" s="38"/>
      <c r="X27" s="38"/>
      <c r="Y27" s="38"/>
      <c r="Z27" s="38"/>
      <c r="AA27" s="38"/>
      <c r="AB27" s="38"/>
      <c r="AC27" s="38"/>
    </row>
    <row r="28" spans="1:29" ht="12.75">
      <c r="A28" s="38"/>
      <c r="B28" s="38"/>
      <c r="C28" s="40"/>
      <c r="D28" s="41"/>
      <c r="E28" s="40"/>
      <c r="F28" s="41"/>
      <c r="G28" s="40"/>
      <c r="H28" s="41"/>
      <c r="I28" s="39"/>
      <c r="J28" s="39"/>
      <c r="K28" s="40"/>
      <c r="L28" s="41"/>
      <c r="M28" s="38"/>
      <c r="N28" s="15"/>
      <c r="O28" s="15"/>
      <c r="P28" s="15"/>
      <c r="Q28" s="15"/>
      <c r="R28" s="16"/>
      <c r="S28" s="38"/>
      <c r="T28" s="38"/>
      <c r="U28" s="38"/>
      <c r="V28" s="38"/>
      <c r="W28" s="38"/>
      <c r="X28" s="38"/>
      <c r="Y28" s="38"/>
      <c r="Z28" s="38"/>
      <c r="AA28" s="38"/>
      <c r="AB28" s="38"/>
      <c r="AC28" s="38"/>
    </row>
    <row r="29" spans="1:29" ht="12.75">
      <c r="A29" s="289"/>
      <c r="B29" s="594"/>
      <c r="C29" s="594"/>
      <c r="D29" s="594"/>
      <c r="E29" s="594"/>
      <c r="F29" s="594"/>
      <c r="G29" s="594"/>
      <c r="H29" s="594"/>
      <c r="I29" s="594"/>
      <c r="J29" s="531"/>
      <c r="K29" s="594"/>
      <c r="L29" s="594"/>
      <c r="O29" s="164"/>
      <c r="P29" s="15"/>
      <c r="Q29" s="15"/>
      <c r="R29" s="16"/>
      <c r="S29" s="38"/>
      <c r="T29" s="38"/>
      <c r="U29" s="38"/>
      <c r="V29" s="38"/>
      <c r="W29" s="38"/>
      <c r="X29" s="38"/>
      <c r="Y29" s="38"/>
      <c r="Z29" s="38"/>
      <c r="AA29" s="38"/>
      <c r="AB29" s="38"/>
      <c r="AC29" s="38"/>
    </row>
    <row r="30" spans="2:29" ht="12.75">
      <c r="B30" s="289"/>
      <c r="C30" s="289"/>
      <c r="D30" s="289"/>
      <c r="E30" s="289"/>
      <c r="F30" s="289"/>
      <c r="G30" s="289"/>
      <c r="H30" s="289"/>
      <c r="I30" s="289"/>
      <c r="J30" s="289"/>
      <c r="K30" s="289"/>
      <c r="L30" s="289"/>
      <c r="O30" s="164"/>
      <c r="P30" s="15"/>
      <c r="Q30" s="15"/>
      <c r="R30" s="16"/>
      <c r="S30" s="38"/>
      <c r="T30" s="38"/>
      <c r="U30" s="38"/>
      <c r="V30" s="38"/>
      <c r="W30" s="38"/>
      <c r="X30" s="38"/>
      <c r="Y30" s="38"/>
      <c r="Z30" s="38"/>
      <c r="AA30" s="38"/>
      <c r="AB30" s="38"/>
      <c r="AC30" s="38"/>
    </row>
    <row r="31" spans="2:29" ht="12.75">
      <c r="B31" s="289"/>
      <c r="C31" s="289"/>
      <c r="D31" s="289"/>
      <c r="E31" s="289"/>
      <c r="F31" s="289"/>
      <c r="G31" s="289"/>
      <c r="H31" s="289"/>
      <c r="I31" s="289"/>
      <c r="J31" s="289"/>
      <c r="K31" s="289"/>
      <c r="L31" s="289"/>
      <c r="O31" s="164"/>
      <c r="P31" s="15"/>
      <c r="Q31" s="15"/>
      <c r="R31" s="16"/>
      <c r="S31" s="38"/>
      <c r="T31" s="38"/>
      <c r="U31" s="38"/>
      <c r="V31" s="38"/>
      <c r="W31" s="38"/>
      <c r="X31" s="38"/>
      <c r="Y31" s="38"/>
      <c r="Z31" s="38"/>
      <c r="AA31" s="38"/>
      <c r="AB31" s="38"/>
      <c r="AC31" s="38"/>
    </row>
    <row r="32" spans="1:29" ht="12.75">
      <c r="A32" s="290"/>
      <c r="B32" s="164"/>
      <c r="C32" s="164"/>
      <c r="D32" s="164"/>
      <c r="E32" s="164"/>
      <c r="F32" s="164"/>
      <c r="G32" s="164"/>
      <c r="H32" s="164"/>
      <c r="I32" s="164"/>
      <c r="J32" s="164"/>
      <c r="K32" s="164"/>
      <c r="L32" s="164"/>
      <c r="O32" s="164"/>
      <c r="P32" s="15"/>
      <c r="Q32" s="15"/>
      <c r="R32" s="16"/>
      <c r="S32" s="38"/>
      <c r="T32" s="38"/>
      <c r="U32" s="38"/>
      <c r="V32" s="38"/>
      <c r="W32" s="38"/>
      <c r="X32" s="38"/>
      <c r="Y32" s="38"/>
      <c r="Z32" s="38"/>
      <c r="AA32" s="38"/>
      <c r="AB32" s="38"/>
      <c r="AC32" s="38"/>
    </row>
    <row r="33" spans="1:29" ht="12.75">
      <c r="A33" s="289"/>
      <c r="B33" s="289"/>
      <c r="C33" s="289"/>
      <c r="D33" s="289"/>
      <c r="E33" s="289"/>
      <c r="F33" s="289"/>
      <c r="G33" s="289"/>
      <c r="H33" s="289"/>
      <c r="I33" s="289"/>
      <c r="J33" s="289"/>
      <c r="K33" s="289"/>
      <c r="L33" s="289"/>
      <c r="M33" s="289"/>
      <c r="N33" s="291"/>
      <c r="O33" s="291"/>
      <c r="P33" s="291"/>
      <c r="Q33" s="289"/>
      <c r="R33" s="289"/>
      <c r="S33" s="291"/>
      <c r="T33" s="164"/>
      <c r="U33" s="38"/>
      <c r="V33" s="38"/>
      <c r="W33" s="38"/>
      <c r="X33" s="38"/>
      <c r="Y33" s="38"/>
      <c r="Z33" s="38"/>
      <c r="AA33" s="38"/>
      <c r="AB33" s="38"/>
      <c r="AC33" s="38"/>
    </row>
    <row r="34" spans="1:29" ht="12.75">
      <c r="A34" s="289"/>
      <c r="B34" s="291"/>
      <c r="C34" s="291"/>
      <c r="D34" s="291"/>
      <c r="E34" s="291"/>
      <c r="F34" s="291"/>
      <c r="G34" s="291"/>
      <c r="H34" s="291"/>
      <c r="I34" s="291"/>
      <c r="J34" s="291"/>
      <c r="K34" s="291"/>
      <c r="L34" s="291"/>
      <c r="M34" s="289"/>
      <c r="N34" s="291"/>
      <c r="O34" s="291"/>
      <c r="P34" s="291"/>
      <c r="Q34" s="291"/>
      <c r="R34" s="291"/>
      <c r="S34" s="291"/>
      <c r="T34" s="164"/>
      <c r="U34" s="38"/>
      <c r="V34" s="38"/>
      <c r="W34" s="38"/>
      <c r="X34" s="38"/>
      <c r="Y34" s="38"/>
      <c r="Z34" s="38"/>
      <c r="AA34" s="38"/>
      <c r="AB34" s="38"/>
      <c r="AC34" s="38"/>
    </row>
    <row r="35" spans="1:29" ht="12.75">
      <c r="A35" s="289"/>
      <c r="B35" s="291"/>
      <c r="C35" s="291"/>
      <c r="D35" s="291"/>
      <c r="E35" s="291"/>
      <c r="F35" s="291"/>
      <c r="G35" s="291"/>
      <c r="H35" s="291"/>
      <c r="I35" s="291"/>
      <c r="J35" s="291"/>
      <c r="K35" s="291"/>
      <c r="L35" s="291"/>
      <c r="M35" s="289"/>
      <c r="N35" s="291"/>
      <c r="O35" s="291"/>
      <c r="P35" s="291"/>
      <c r="Q35" s="291"/>
      <c r="R35" s="291"/>
      <c r="S35" s="291"/>
      <c r="T35" s="164"/>
      <c r="U35" s="38"/>
      <c r="V35" s="38"/>
      <c r="W35" s="38"/>
      <c r="X35" s="38"/>
      <c r="Y35" s="38"/>
      <c r="Z35" s="38"/>
      <c r="AA35" s="38"/>
      <c r="AB35" s="38"/>
      <c r="AC35" s="38"/>
    </row>
    <row r="36" spans="1:29" ht="12.75">
      <c r="A36" s="289"/>
      <c r="B36" s="291"/>
      <c r="C36" s="291"/>
      <c r="D36" s="291"/>
      <c r="E36" s="291"/>
      <c r="F36" s="291"/>
      <c r="G36" s="291"/>
      <c r="H36" s="291"/>
      <c r="I36" s="291"/>
      <c r="J36" s="291"/>
      <c r="K36" s="291"/>
      <c r="L36" s="291"/>
      <c r="M36" s="289"/>
      <c r="N36" s="291"/>
      <c r="O36" s="291"/>
      <c r="P36" s="291"/>
      <c r="Q36" s="291"/>
      <c r="R36" s="291"/>
      <c r="S36" s="291"/>
      <c r="U36" s="38"/>
      <c r="V36" s="38"/>
      <c r="W36" s="38"/>
      <c r="X36" s="38"/>
      <c r="Y36" s="38"/>
      <c r="Z36" s="38"/>
      <c r="AA36" s="38"/>
      <c r="AB36" s="38"/>
      <c r="AC36" s="38"/>
    </row>
    <row r="37" spans="1:29" ht="12.75">
      <c r="A37" s="289"/>
      <c r="B37" s="291"/>
      <c r="C37" s="291"/>
      <c r="D37" s="291"/>
      <c r="E37" s="291"/>
      <c r="F37" s="291"/>
      <c r="G37" s="291"/>
      <c r="H37" s="291"/>
      <c r="I37" s="291"/>
      <c r="J37" s="291"/>
      <c r="K37" s="291"/>
      <c r="L37" s="291"/>
      <c r="M37" s="289"/>
      <c r="N37" s="291"/>
      <c r="O37" s="291"/>
      <c r="P37" s="291"/>
      <c r="Q37" s="291"/>
      <c r="R37" s="291"/>
      <c r="S37" s="291"/>
      <c r="T37" s="164"/>
      <c r="U37" s="38"/>
      <c r="V37" s="38"/>
      <c r="W37" s="38"/>
      <c r="X37" s="38"/>
      <c r="Y37" s="38"/>
      <c r="Z37" s="38"/>
      <c r="AA37" s="38"/>
      <c r="AB37" s="38"/>
      <c r="AC37" s="38"/>
    </row>
    <row r="38" spans="1:29" ht="12.75">
      <c r="A38" s="289"/>
      <c r="B38" s="291"/>
      <c r="C38" s="291"/>
      <c r="D38" s="291"/>
      <c r="E38" s="291"/>
      <c r="F38" s="291"/>
      <c r="G38" s="291"/>
      <c r="H38" s="291"/>
      <c r="I38" s="291"/>
      <c r="J38" s="291"/>
      <c r="K38" s="291"/>
      <c r="L38" s="291"/>
      <c r="M38" s="289"/>
      <c r="N38" s="291"/>
      <c r="O38" s="291"/>
      <c r="P38" s="291"/>
      <c r="Q38" s="291"/>
      <c r="R38" s="291"/>
      <c r="S38" s="291"/>
      <c r="T38" s="164"/>
      <c r="U38" s="38"/>
      <c r="V38" s="38"/>
      <c r="W38" s="38"/>
      <c r="X38" s="38"/>
      <c r="Y38" s="38"/>
      <c r="Z38" s="38"/>
      <c r="AA38" s="38"/>
      <c r="AB38" s="38"/>
      <c r="AC38" s="38"/>
    </row>
    <row r="39" spans="1:29" ht="12.75">
      <c r="A39" s="290"/>
      <c r="B39" s="164"/>
      <c r="C39" s="164"/>
      <c r="D39" s="164"/>
      <c r="E39" s="164"/>
      <c r="F39" s="164"/>
      <c r="G39" s="164"/>
      <c r="H39" s="164"/>
      <c r="I39" s="164"/>
      <c r="J39" s="164"/>
      <c r="K39" s="164"/>
      <c r="L39" s="164"/>
      <c r="M39" s="290"/>
      <c r="N39" s="164"/>
      <c r="O39" s="164"/>
      <c r="P39" s="164"/>
      <c r="Q39" s="164"/>
      <c r="R39" s="164"/>
      <c r="S39" s="164"/>
      <c r="T39" s="164"/>
      <c r="U39" s="38"/>
      <c r="V39" s="38"/>
      <c r="W39" s="38"/>
      <c r="X39" s="38"/>
      <c r="Y39" s="38"/>
      <c r="Z39" s="38"/>
      <c r="AA39" s="38"/>
      <c r="AB39" s="38"/>
      <c r="AC39" s="38"/>
    </row>
    <row r="40" spans="1:29" ht="12.75">
      <c r="A40" s="289"/>
      <c r="B40" s="291"/>
      <c r="C40" s="291"/>
      <c r="D40" s="291"/>
      <c r="E40" s="291"/>
      <c r="F40" s="291"/>
      <c r="G40" s="291"/>
      <c r="H40" s="291"/>
      <c r="I40" s="291"/>
      <c r="J40" s="291"/>
      <c r="K40" s="291"/>
      <c r="L40" s="291"/>
      <c r="M40" s="289"/>
      <c r="N40" s="291"/>
      <c r="O40" s="291"/>
      <c r="P40" s="291"/>
      <c r="Q40" s="291"/>
      <c r="R40" s="291"/>
      <c r="S40" s="291"/>
      <c r="T40" s="164"/>
      <c r="U40" s="38"/>
      <c r="V40" s="38"/>
      <c r="W40" s="38"/>
      <c r="X40" s="38"/>
      <c r="Y40" s="38"/>
      <c r="Z40" s="38"/>
      <c r="AA40" s="38"/>
      <c r="AB40" s="38"/>
      <c r="AC40" s="38"/>
    </row>
    <row r="41" spans="1:29" ht="12.75">
      <c r="A41" s="289"/>
      <c r="B41" s="291"/>
      <c r="C41" s="291"/>
      <c r="D41" s="291"/>
      <c r="E41" s="291"/>
      <c r="F41" s="291"/>
      <c r="G41" s="291"/>
      <c r="H41" s="291"/>
      <c r="I41" s="291"/>
      <c r="J41" s="291"/>
      <c r="K41" s="291"/>
      <c r="L41" s="291"/>
      <c r="M41" s="289"/>
      <c r="N41" s="291"/>
      <c r="O41" s="291"/>
      <c r="P41" s="291"/>
      <c r="Q41" s="291"/>
      <c r="R41" s="291"/>
      <c r="S41" s="291"/>
      <c r="T41" s="164"/>
      <c r="U41" s="38"/>
      <c r="V41" s="38"/>
      <c r="W41" s="38"/>
      <c r="X41" s="38"/>
      <c r="Y41" s="38"/>
      <c r="Z41" s="38"/>
      <c r="AA41" s="38"/>
      <c r="AB41" s="38"/>
      <c r="AC41" s="38"/>
    </row>
    <row r="42" spans="1:29" ht="12.75">
      <c r="A42" s="289"/>
      <c r="B42" s="289"/>
      <c r="C42" s="291"/>
      <c r="D42" s="289"/>
      <c r="E42" s="291"/>
      <c r="F42" s="289"/>
      <c r="G42" s="291"/>
      <c r="H42" s="289"/>
      <c r="I42" s="289"/>
      <c r="J42" s="289"/>
      <c r="K42" s="291"/>
      <c r="L42" s="289"/>
      <c r="M42" s="289"/>
      <c r="N42" s="289"/>
      <c r="O42" s="289"/>
      <c r="P42" s="291"/>
      <c r="Q42" s="289"/>
      <c r="R42" s="289"/>
      <c r="S42" s="291"/>
      <c r="T42" s="164"/>
      <c r="U42" s="38"/>
      <c r="V42" s="38"/>
      <c r="W42" s="38"/>
      <c r="X42" s="38"/>
      <c r="Y42" s="38"/>
      <c r="Z42" s="38"/>
      <c r="AA42" s="38"/>
      <c r="AB42" s="38"/>
      <c r="AC42" s="38"/>
    </row>
    <row r="43" spans="1:29" ht="12.75">
      <c r="A43" s="289"/>
      <c r="B43" s="291"/>
      <c r="C43" s="291"/>
      <c r="D43" s="291"/>
      <c r="E43" s="291"/>
      <c r="F43" s="291"/>
      <c r="G43" s="291"/>
      <c r="H43" s="291"/>
      <c r="I43" s="291"/>
      <c r="J43" s="291"/>
      <c r="K43" s="291"/>
      <c r="L43" s="291"/>
      <c r="M43" s="289"/>
      <c r="N43" s="291"/>
      <c r="O43" s="291"/>
      <c r="P43" s="291"/>
      <c r="Q43" s="291"/>
      <c r="R43" s="291"/>
      <c r="S43" s="291"/>
      <c r="T43" s="164"/>
      <c r="U43" s="38"/>
      <c r="V43" s="38"/>
      <c r="W43" s="38"/>
      <c r="X43" s="38"/>
      <c r="Y43" s="38"/>
      <c r="Z43" s="38"/>
      <c r="AA43" s="38"/>
      <c r="AB43" s="38"/>
      <c r="AC43" s="38"/>
    </row>
    <row r="44" spans="1:29" ht="12.75">
      <c r="A44" s="289"/>
      <c r="B44" s="291"/>
      <c r="C44" s="291"/>
      <c r="D44" s="291"/>
      <c r="E44" s="291"/>
      <c r="F44" s="291"/>
      <c r="G44" s="291"/>
      <c r="H44" s="291"/>
      <c r="I44" s="291"/>
      <c r="J44" s="291"/>
      <c r="K44" s="291"/>
      <c r="L44" s="291"/>
      <c r="M44" s="289"/>
      <c r="N44" s="291"/>
      <c r="O44" s="291"/>
      <c r="P44" s="291"/>
      <c r="Q44" s="291"/>
      <c r="R44" s="291"/>
      <c r="S44" s="291"/>
      <c r="T44" s="164"/>
      <c r="U44" s="38"/>
      <c r="V44" s="38"/>
      <c r="W44" s="38"/>
      <c r="X44" s="38"/>
      <c r="Y44" s="38"/>
      <c r="Z44" s="38"/>
      <c r="AA44" s="38"/>
      <c r="AB44" s="38"/>
      <c r="AC44" s="38"/>
    </row>
    <row r="45" spans="1:29" ht="12.75">
      <c r="A45" s="290"/>
      <c r="B45" s="289"/>
      <c r="C45" s="289"/>
      <c r="D45" s="289"/>
      <c r="E45" s="289"/>
      <c r="F45" s="289"/>
      <c r="G45" s="289"/>
      <c r="H45" s="289"/>
      <c r="I45" s="289"/>
      <c r="J45" s="289"/>
      <c r="K45" s="289"/>
      <c r="L45" s="289"/>
      <c r="M45" s="290"/>
      <c r="N45" s="291"/>
      <c r="O45" s="291"/>
      <c r="P45" s="291"/>
      <c r="Q45" s="289"/>
      <c r="R45" s="289"/>
      <c r="S45" s="291"/>
      <c r="T45" s="164"/>
      <c r="U45" s="38"/>
      <c r="V45" s="38"/>
      <c r="W45" s="38"/>
      <c r="X45" s="38"/>
      <c r="Y45" s="38"/>
      <c r="Z45" s="38"/>
      <c r="AA45" s="38"/>
      <c r="AB45" s="38"/>
      <c r="AC45" s="38"/>
    </row>
    <row r="46" spans="1:29" ht="12.75">
      <c r="A46" s="307"/>
      <c r="B46" s="308"/>
      <c r="C46" s="308"/>
      <c r="D46" s="308"/>
      <c r="E46" s="308"/>
      <c r="F46" s="308"/>
      <c r="G46" s="308"/>
      <c r="H46" s="308"/>
      <c r="I46" s="308"/>
      <c r="J46" s="308"/>
      <c r="K46" s="308"/>
      <c r="L46" s="308"/>
      <c r="M46" s="307"/>
      <c r="N46" s="308"/>
      <c r="O46" s="308"/>
      <c r="P46" s="308"/>
      <c r="Q46" s="308"/>
      <c r="R46" s="308"/>
      <c r="S46" s="308"/>
      <c r="T46" s="164"/>
      <c r="U46" s="38"/>
      <c r="V46" s="38"/>
      <c r="W46" s="38"/>
      <c r="X46" s="38"/>
      <c r="Y46" s="38"/>
      <c r="Z46" s="38"/>
      <c r="AA46" s="38"/>
      <c r="AB46" s="38"/>
      <c r="AC46" s="38"/>
    </row>
    <row r="47" spans="1:29" ht="15.75">
      <c r="A47" s="292"/>
      <c r="B47" s="164"/>
      <c r="C47" s="164"/>
      <c r="D47" s="164"/>
      <c r="E47" s="164"/>
      <c r="F47" s="164"/>
      <c r="G47" s="164"/>
      <c r="H47" s="164"/>
      <c r="I47" s="164"/>
      <c r="J47" s="164"/>
      <c r="K47" s="164"/>
      <c r="L47" s="164"/>
      <c r="M47" s="164"/>
      <c r="N47" s="164"/>
      <c r="O47" s="164"/>
      <c r="P47" s="15"/>
      <c r="Q47" s="15"/>
      <c r="R47" s="16"/>
      <c r="S47" s="38"/>
      <c r="T47" s="38"/>
      <c r="U47" s="38"/>
      <c r="V47" s="38"/>
      <c r="W47" s="38"/>
      <c r="X47" s="38"/>
      <c r="Y47" s="38"/>
      <c r="Z47" s="38"/>
      <c r="AA47" s="38"/>
      <c r="AB47" s="38"/>
      <c r="AC47" s="38"/>
    </row>
    <row r="48" spans="1:29" ht="12.75">
      <c r="A48" s="38"/>
      <c r="B48" s="38"/>
      <c r="C48" s="40"/>
      <c r="D48" s="41"/>
      <c r="E48" s="40"/>
      <c r="F48" s="41"/>
      <c r="G48" s="40"/>
      <c r="H48" s="41"/>
      <c r="I48" s="39"/>
      <c r="J48" s="39"/>
      <c r="K48" s="40"/>
      <c r="L48" s="41"/>
      <c r="M48" s="38"/>
      <c r="N48" s="15"/>
      <c r="O48" s="15"/>
      <c r="P48" s="15"/>
      <c r="Q48" s="15"/>
      <c r="R48" s="16"/>
      <c r="S48" s="38"/>
      <c r="T48" s="38"/>
      <c r="U48" s="38"/>
      <c r="V48" s="38"/>
      <c r="W48" s="38"/>
      <c r="X48" s="38"/>
      <c r="Y48" s="38"/>
      <c r="Z48" s="38"/>
      <c r="AA48" s="38"/>
      <c r="AB48" s="38"/>
      <c r="AC48" s="38"/>
    </row>
    <row r="49" spans="1:29" ht="12.75">
      <c r="A49" s="38"/>
      <c r="B49" s="38"/>
      <c r="C49" s="40"/>
      <c r="D49" s="41"/>
      <c r="E49" s="40"/>
      <c r="F49" s="41"/>
      <c r="G49" s="40"/>
      <c r="H49" s="41"/>
      <c r="I49" s="39"/>
      <c r="J49" s="39"/>
      <c r="K49" s="40"/>
      <c r="L49" s="41"/>
      <c r="M49" s="38"/>
      <c r="N49" s="15"/>
      <c r="O49" s="15"/>
      <c r="P49" s="15"/>
      <c r="Q49" s="15"/>
      <c r="R49" s="16"/>
      <c r="S49" s="38"/>
      <c r="T49" s="38"/>
      <c r="U49" s="38"/>
      <c r="V49" s="38"/>
      <c r="W49" s="38"/>
      <c r="X49" s="38"/>
      <c r="Y49" s="38"/>
      <c r="Z49" s="38"/>
      <c r="AA49" s="38"/>
      <c r="AB49" s="38"/>
      <c r="AC49" s="38"/>
    </row>
    <row r="50" spans="1:29" ht="12.75">
      <c r="A50" s="38"/>
      <c r="B50" s="38"/>
      <c r="C50" s="40"/>
      <c r="D50" s="41"/>
      <c r="E50" s="40"/>
      <c r="F50" s="41"/>
      <c r="G50" s="40"/>
      <c r="H50" s="41"/>
      <c r="I50" s="39"/>
      <c r="J50" s="39"/>
      <c r="K50" s="40"/>
      <c r="L50" s="41"/>
      <c r="M50" s="38"/>
      <c r="N50" s="15"/>
      <c r="O50" s="15"/>
      <c r="P50" s="15"/>
      <c r="Q50" s="15"/>
      <c r="R50" s="16"/>
      <c r="S50" s="38"/>
      <c r="T50" s="38"/>
      <c r="U50" s="38"/>
      <c r="V50" s="38"/>
      <c r="W50" s="38"/>
      <c r="X50" s="38"/>
      <c r="Y50" s="38"/>
      <c r="Z50" s="38"/>
      <c r="AA50" s="38"/>
      <c r="AB50" s="38"/>
      <c r="AC50" s="38"/>
    </row>
    <row r="51" spans="1:29" ht="12.75">
      <c r="A51" s="38"/>
      <c r="B51" s="38"/>
      <c r="C51" s="40"/>
      <c r="D51" s="41"/>
      <c r="E51" s="40"/>
      <c r="F51" s="41"/>
      <c r="G51" s="40"/>
      <c r="H51" s="41"/>
      <c r="I51" s="39"/>
      <c r="J51" s="39"/>
      <c r="K51" s="40"/>
      <c r="L51" s="41"/>
      <c r="M51" s="38"/>
      <c r="N51" s="15"/>
      <c r="O51" s="15"/>
      <c r="P51" s="15"/>
      <c r="Q51" s="15"/>
      <c r="R51" s="16"/>
      <c r="S51" s="38"/>
      <c r="T51" s="38"/>
      <c r="U51" s="38"/>
      <c r="V51" s="38"/>
      <c r="W51" s="38"/>
      <c r="X51" s="38"/>
      <c r="Y51" s="38"/>
      <c r="Z51" s="38"/>
      <c r="AA51" s="38"/>
      <c r="AB51" s="38"/>
      <c r="AC51" s="38"/>
    </row>
    <row r="52" spans="1:29" ht="12.75">
      <c r="A52" s="38"/>
      <c r="B52" s="38"/>
      <c r="C52" s="40"/>
      <c r="D52" s="41"/>
      <c r="E52" s="40"/>
      <c r="F52" s="41"/>
      <c r="G52" s="40"/>
      <c r="H52" s="41"/>
      <c r="I52" s="39"/>
      <c r="J52" s="39"/>
      <c r="K52" s="40"/>
      <c r="L52" s="41"/>
      <c r="M52" s="38"/>
      <c r="N52" s="15"/>
      <c r="O52" s="15"/>
      <c r="P52" s="15"/>
      <c r="Q52" s="15"/>
      <c r="R52" s="16"/>
      <c r="S52" s="38"/>
      <c r="T52" s="38"/>
      <c r="U52" s="38"/>
      <c r="V52" s="38"/>
      <c r="W52" s="38"/>
      <c r="X52" s="38"/>
      <c r="Y52" s="38"/>
      <c r="Z52" s="38"/>
      <c r="AA52" s="38"/>
      <c r="AB52" s="38"/>
      <c r="AC52" s="38"/>
    </row>
    <row r="53" spans="1:29" ht="12.75">
      <c r="A53" s="38"/>
      <c r="B53" s="38"/>
      <c r="C53" s="40"/>
      <c r="D53" s="41"/>
      <c r="E53" s="40"/>
      <c r="F53" s="41"/>
      <c r="G53" s="40"/>
      <c r="H53" s="41"/>
      <c r="I53" s="39"/>
      <c r="J53" s="39"/>
      <c r="K53" s="40"/>
      <c r="L53" s="41"/>
      <c r="M53" s="38"/>
      <c r="N53" s="15"/>
      <c r="O53" s="15"/>
      <c r="P53" s="15"/>
      <c r="Q53" s="15"/>
      <c r="R53" s="16"/>
      <c r="S53" s="38"/>
      <c r="T53" s="38"/>
      <c r="U53" s="38"/>
      <c r="V53" s="38"/>
      <c r="W53" s="38"/>
      <c r="X53" s="38"/>
      <c r="Y53" s="38"/>
      <c r="Z53" s="38"/>
      <c r="AA53" s="38"/>
      <c r="AB53" s="38"/>
      <c r="AC53" s="38"/>
    </row>
    <row r="54" spans="1:29" ht="12.75">
      <c r="A54" s="38"/>
      <c r="B54" s="38"/>
      <c r="C54" s="40"/>
      <c r="D54" s="41"/>
      <c r="E54" s="40"/>
      <c r="F54" s="41"/>
      <c r="G54" s="40"/>
      <c r="H54" s="41"/>
      <c r="I54" s="39"/>
      <c r="J54" s="39"/>
      <c r="K54" s="40"/>
      <c r="L54" s="41"/>
      <c r="M54" s="38"/>
      <c r="N54" s="15"/>
      <c r="O54" s="15"/>
      <c r="P54" s="15"/>
      <c r="Q54" s="15"/>
      <c r="R54" s="16"/>
      <c r="S54" s="38"/>
      <c r="T54" s="38"/>
      <c r="U54" s="38"/>
      <c r="V54" s="38"/>
      <c r="W54" s="38"/>
      <c r="X54" s="38"/>
      <c r="Y54" s="38"/>
      <c r="Z54" s="38"/>
      <c r="AA54" s="38"/>
      <c r="AB54" s="38"/>
      <c r="AC54" s="38"/>
    </row>
    <row r="55" spans="1:29" ht="12.75">
      <c r="A55" s="38"/>
      <c r="B55" s="38"/>
      <c r="C55" s="40"/>
      <c r="D55" s="41"/>
      <c r="E55" s="40"/>
      <c r="F55" s="41"/>
      <c r="G55" s="40"/>
      <c r="H55" s="41"/>
      <c r="I55" s="39"/>
      <c r="J55" s="39"/>
      <c r="K55" s="40"/>
      <c r="L55" s="41"/>
      <c r="M55" s="38"/>
      <c r="N55" s="15"/>
      <c r="O55" s="15"/>
      <c r="P55" s="15"/>
      <c r="Q55" s="15"/>
      <c r="R55" s="16"/>
      <c r="S55" s="38"/>
      <c r="T55" s="38"/>
      <c r="U55" s="38"/>
      <c r="V55" s="38"/>
      <c r="W55" s="38"/>
      <c r="X55" s="38"/>
      <c r="Y55" s="38"/>
      <c r="Z55" s="38"/>
      <c r="AA55" s="38"/>
      <c r="AB55" s="38"/>
      <c r="AC55" s="38"/>
    </row>
    <row r="56" spans="1:29" ht="12.75">
      <c r="A56" s="38"/>
      <c r="B56" s="38"/>
      <c r="C56" s="40"/>
      <c r="D56" s="41"/>
      <c r="E56" s="40"/>
      <c r="F56" s="41"/>
      <c r="G56" s="40"/>
      <c r="H56" s="41"/>
      <c r="I56" s="39"/>
      <c r="J56" s="39"/>
      <c r="K56" s="40"/>
      <c r="L56" s="41"/>
      <c r="M56" s="38"/>
      <c r="N56" s="15"/>
      <c r="O56" s="15"/>
      <c r="P56" s="15"/>
      <c r="Q56" s="15"/>
      <c r="R56" s="16"/>
      <c r="S56" s="38"/>
      <c r="T56" s="38"/>
      <c r="U56" s="38"/>
      <c r="V56" s="38"/>
      <c r="W56" s="38"/>
      <c r="X56" s="38"/>
      <c r="Y56" s="38"/>
      <c r="Z56" s="38"/>
      <c r="AA56" s="38"/>
      <c r="AB56" s="38"/>
      <c r="AC56" s="38"/>
    </row>
    <row r="57" spans="1:29" ht="12.75">
      <c r="A57" s="38"/>
      <c r="B57" s="38"/>
      <c r="C57" s="40"/>
      <c r="D57" s="41"/>
      <c r="E57" s="40"/>
      <c r="F57" s="41"/>
      <c r="G57" s="40"/>
      <c r="H57" s="41"/>
      <c r="I57" s="39"/>
      <c r="J57" s="39"/>
      <c r="K57" s="40"/>
      <c r="L57" s="41"/>
      <c r="M57" s="38"/>
      <c r="N57" s="15"/>
      <c r="O57" s="15"/>
      <c r="P57" s="15"/>
      <c r="Q57" s="15"/>
      <c r="R57" s="16"/>
      <c r="S57" s="38"/>
      <c r="T57" s="38"/>
      <c r="U57" s="38"/>
      <c r="V57" s="38"/>
      <c r="W57" s="38"/>
      <c r="X57" s="38"/>
      <c r="Y57" s="38"/>
      <c r="Z57" s="38"/>
      <c r="AA57" s="38"/>
      <c r="AB57" s="38"/>
      <c r="AC57" s="38"/>
    </row>
    <row r="58" spans="1:29" ht="12.75">
      <c r="A58" s="38"/>
      <c r="B58" s="38"/>
      <c r="C58" s="40"/>
      <c r="D58" s="41"/>
      <c r="E58" s="40"/>
      <c r="F58" s="41"/>
      <c r="G58" s="40"/>
      <c r="H58" s="41"/>
      <c r="I58" s="39"/>
      <c r="J58" s="39"/>
      <c r="K58" s="40"/>
      <c r="L58" s="41"/>
      <c r="M58" s="38"/>
      <c r="N58" s="15"/>
      <c r="O58" s="15"/>
      <c r="P58" s="15"/>
      <c r="Q58" s="15"/>
      <c r="R58" s="16"/>
      <c r="S58" s="38"/>
      <c r="T58" s="38"/>
      <c r="U58" s="38"/>
      <c r="V58" s="38"/>
      <c r="W58" s="38"/>
      <c r="X58" s="38"/>
      <c r="Y58" s="38"/>
      <c r="Z58" s="38"/>
      <c r="AA58" s="38"/>
      <c r="AB58" s="38"/>
      <c r="AC58" s="38"/>
    </row>
    <row r="59" spans="1:29" ht="12.75">
      <c r="A59" s="38"/>
      <c r="B59" s="38"/>
      <c r="C59" s="40"/>
      <c r="D59" s="41"/>
      <c r="E59" s="40"/>
      <c r="F59" s="41"/>
      <c r="G59" s="40"/>
      <c r="H59" s="41"/>
      <c r="I59" s="39"/>
      <c r="J59" s="39"/>
      <c r="K59" s="40"/>
      <c r="L59" s="41"/>
      <c r="M59" s="38"/>
      <c r="N59" s="15"/>
      <c r="O59" s="15"/>
      <c r="P59" s="15"/>
      <c r="Q59" s="15"/>
      <c r="R59" s="16"/>
      <c r="S59" s="38"/>
      <c r="T59" s="38"/>
      <c r="U59" s="38"/>
      <c r="V59" s="38"/>
      <c r="W59" s="38"/>
      <c r="X59" s="38"/>
      <c r="Y59" s="38"/>
      <c r="Z59" s="38"/>
      <c r="AA59" s="38"/>
      <c r="AB59" s="38"/>
      <c r="AC59" s="38"/>
    </row>
    <row r="60" spans="1:29" ht="12.75">
      <c r="A60" s="38"/>
      <c r="B60" s="38"/>
      <c r="C60" s="40"/>
      <c r="D60" s="41"/>
      <c r="E60" s="40"/>
      <c r="F60" s="41"/>
      <c r="G60" s="40"/>
      <c r="H60" s="41"/>
      <c r="I60" s="39"/>
      <c r="J60" s="39"/>
      <c r="K60" s="40"/>
      <c r="L60" s="41"/>
      <c r="M60" s="38"/>
      <c r="N60" s="15"/>
      <c r="O60" s="15"/>
      <c r="P60" s="15"/>
      <c r="Q60" s="15"/>
      <c r="R60" s="16"/>
      <c r="S60" s="38"/>
      <c r="T60" s="38"/>
      <c r="U60" s="38"/>
      <c r="V60" s="38"/>
      <c r="W60" s="38"/>
      <c r="X60" s="38"/>
      <c r="Y60" s="38"/>
      <c r="Z60" s="38"/>
      <c r="AA60" s="38"/>
      <c r="AB60" s="38"/>
      <c r="AC60" s="38"/>
    </row>
    <row r="61" spans="1:29" ht="12.75">
      <c r="A61" s="38"/>
      <c r="B61" s="38"/>
      <c r="C61" s="40"/>
      <c r="D61" s="41"/>
      <c r="E61" s="40"/>
      <c r="F61" s="41"/>
      <c r="G61" s="40"/>
      <c r="H61" s="41"/>
      <c r="I61" s="39"/>
      <c r="J61" s="39"/>
      <c r="K61" s="40"/>
      <c r="L61" s="41"/>
      <c r="M61" s="38"/>
      <c r="N61" s="15"/>
      <c r="O61" s="15"/>
      <c r="P61" s="15"/>
      <c r="Q61" s="15"/>
      <c r="R61" s="16"/>
      <c r="S61" s="38"/>
      <c r="T61" s="38"/>
      <c r="U61" s="38"/>
      <c r="V61" s="38"/>
      <c r="W61" s="38"/>
      <c r="X61" s="38"/>
      <c r="Y61" s="38"/>
      <c r="Z61" s="38"/>
      <c r="AA61" s="38"/>
      <c r="AB61" s="38"/>
      <c r="AC61" s="38"/>
    </row>
    <row r="62" spans="1:29" ht="12.75">
      <c r="A62" s="38"/>
      <c r="B62" s="38"/>
      <c r="C62" s="40"/>
      <c r="D62" s="41"/>
      <c r="E62" s="40"/>
      <c r="F62" s="41"/>
      <c r="G62" s="40"/>
      <c r="H62" s="41"/>
      <c r="I62" s="39"/>
      <c r="J62" s="39"/>
      <c r="K62" s="40"/>
      <c r="L62" s="41"/>
      <c r="M62" s="38"/>
      <c r="N62" s="15"/>
      <c r="O62" s="15"/>
      <c r="P62" s="15"/>
      <c r="Q62" s="15"/>
      <c r="R62" s="16"/>
      <c r="S62" s="38"/>
      <c r="T62" s="38"/>
      <c r="U62" s="38"/>
      <c r="V62" s="38"/>
      <c r="W62" s="38"/>
      <c r="X62" s="38"/>
      <c r="Y62" s="38"/>
      <c r="Z62" s="38"/>
      <c r="AA62" s="38"/>
      <c r="AB62" s="38"/>
      <c r="AC62" s="38"/>
    </row>
    <row r="63" spans="1:29" ht="12.75">
      <c r="A63" s="38"/>
      <c r="B63" s="38"/>
      <c r="C63" s="40"/>
      <c r="D63" s="41"/>
      <c r="E63" s="40"/>
      <c r="F63" s="41"/>
      <c r="G63" s="40"/>
      <c r="H63" s="41"/>
      <c r="I63" s="39"/>
      <c r="J63" s="39"/>
      <c r="K63" s="40"/>
      <c r="L63" s="41"/>
      <c r="M63" s="38"/>
      <c r="N63" s="15"/>
      <c r="O63" s="15"/>
      <c r="P63" s="15"/>
      <c r="Q63" s="15"/>
      <c r="R63" s="16"/>
      <c r="S63" s="38"/>
      <c r="T63" s="38"/>
      <c r="U63" s="38"/>
      <c r="V63" s="38"/>
      <c r="W63" s="38"/>
      <c r="X63" s="38"/>
      <c r="Y63" s="38"/>
      <c r="Z63" s="38"/>
      <c r="AA63" s="38"/>
      <c r="AB63" s="38"/>
      <c r="AC63" s="38"/>
    </row>
    <row r="64" spans="1:29" ht="12.75">
      <c r="A64" s="38"/>
      <c r="B64" s="38"/>
      <c r="C64" s="40"/>
      <c r="D64" s="41"/>
      <c r="E64" s="40"/>
      <c r="F64" s="41"/>
      <c r="G64" s="40"/>
      <c r="H64" s="41"/>
      <c r="I64" s="39"/>
      <c r="J64" s="39"/>
      <c r="K64" s="40"/>
      <c r="L64" s="41"/>
      <c r="M64" s="38"/>
      <c r="N64" s="15"/>
      <c r="O64" s="15"/>
      <c r="P64" s="15"/>
      <c r="Q64" s="15"/>
      <c r="R64" s="16"/>
      <c r="S64" s="38"/>
      <c r="T64" s="38"/>
      <c r="U64" s="38"/>
      <c r="V64" s="38"/>
      <c r="W64" s="38"/>
      <c r="X64" s="38"/>
      <c r="Y64" s="38"/>
      <c r="Z64" s="38"/>
      <c r="AA64" s="38"/>
      <c r="AB64" s="38"/>
      <c r="AC64" s="38"/>
    </row>
    <row r="65" spans="1:29" ht="12.75">
      <c r="A65" s="38"/>
      <c r="B65" s="38"/>
      <c r="C65" s="40"/>
      <c r="D65" s="41"/>
      <c r="E65" s="40"/>
      <c r="F65" s="41"/>
      <c r="G65" s="40"/>
      <c r="H65" s="41"/>
      <c r="I65" s="39"/>
      <c r="J65" s="39"/>
      <c r="K65" s="40"/>
      <c r="L65" s="41"/>
      <c r="M65" s="38"/>
      <c r="N65" s="15"/>
      <c r="O65" s="15"/>
      <c r="P65" s="15"/>
      <c r="Q65" s="15"/>
      <c r="R65" s="16"/>
      <c r="S65" s="38"/>
      <c r="T65" s="38"/>
      <c r="U65" s="38"/>
      <c r="V65" s="38"/>
      <c r="W65" s="38"/>
      <c r="X65" s="38"/>
      <c r="Y65" s="38"/>
      <c r="Z65" s="38"/>
      <c r="AA65" s="38"/>
      <c r="AB65" s="38"/>
      <c r="AC65" s="38"/>
    </row>
    <row r="66" spans="1:29" ht="12.75">
      <c r="A66" s="38"/>
      <c r="B66" s="38"/>
      <c r="C66" s="40"/>
      <c r="D66" s="41"/>
      <c r="E66" s="40"/>
      <c r="F66" s="41"/>
      <c r="G66" s="40"/>
      <c r="H66" s="41"/>
      <c r="I66" s="39"/>
      <c r="J66" s="39"/>
      <c r="K66" s="40"/>
      <c r="L66" s="41"/>
      <c r="M66" s="38"/>
      <c r="N66" s="15"/>
      <c r="O66" s="15"/>
      <c r="P66" s="15"/>
      <c r="Q66" s="15"/>
      <c r="R66" s="16"/>
      <c r="S66" s="38"/>
      <c r="T66" s="38"/>
      <c r="U66" s="38"/>
      <c r="V66" s="38"/>
      <c r="W66" s="38"/>
      <c r="X66" s="38"/>
      <c r="Y66" s="38"/>
      <c r="Z66" s="38"/>
      <c r="AA66" s="38"/>
      <c r="AB66" s="38"/>
      <c r="AC66" s="38"/>
    </row>
    <row r="67" spans="1:29" ht="12.75">
      <c r="A67" s="38"/>
      <c r="B67" s="38"/>
      <c r="C67" s="40"/>
      <c r="D67" s="41"/>
      <c r="E67" s="40"/>
      <c r="F67" s="41"/>
      <c r="G67" s="40"/>
      <c r="H67" s="41"/>
      <c r="I67" s="39"/>
      <c r="J67" s="39"/>
      <c r="K67" s="40"/>
      <c r="L67" s="41"/>
      <c r="M67" s="38"/>
      <c r="N67" s="15"/>
      <c r="O67" s="15"/>
      <c r="P67" s="15"/>
      <c r="Q67" s="15"/>
      <c r="R67" s="16"/>
      <c r="S67" s="38"/>
      <c r="T67" s="38"/>
      <c r="U67" s="38"/>
      <c r="V67" s="38"/>
      <c r="W67" s="38"/>
      <c r="X67" s="38"/>
      <c r="Y67" s="38"/>
      <c r="Z67" s="38"/>
      <c r="AA67" s="38"/>
      <c r="AB67" s="38"/>
      <c r="AC67" s="38"/>
    </row>
    <row r="68" spans="1:29" ht="12.75">
      <c r="A68" s="38"/>
      <c r="B68" s="38"/>
      <c r="C68" s="40"/>
      <c r="D68" s="41"/>
      <c r="E68" s="40"/>
      <c r="F68" s="41"/>
      <c r="G68" s="40"/>
      <c r="H68" s="41"/>
      <c r="I68" s="39"/>
      <c r="J68" s="39"/>
      <c r="K68" s="40"/>
      <c r="L68" s="41"/>
      <c r="M68" s="38"/>
      <c r="N68" s="15"/>
      <c r="O68" s="15"/>
      <c r="P68" s="15"/>
      <c r="Q68" s="15"/>
      <c r="R68" s="16"/>
      <c r="S68" s="38"/>
      <c r="T68" s="38"/>
      <c r="U68" s="38"/>
      <c r="V68" s="38"/>
      <c r="W68" s="38"/>
      <c r="X68" s="38"/>
      <c r="Y68" s="38"/>
      <c r="Z68" s="38"/>
      <c r="AA68" s="38"/>
      <c r="AB68" s="38"/>
      <c r="AC68" s="38"/>
    </row>
    <row r="69" spans="1:29" ht="12.75">
      <c r="A69" s="38"/>
      <c r="B69" s="38"/>
      <c r="C69" s="40"/>
      <c r="D69" s="41"/>
      <c r="E69" s="40"/>
      <c r="F69" s="41"/>
      <c r="G69" s="40"/>
      <c r="H69" s="41"/>
      <c r="I69" s="39"/>
      <c r="J69" s="39"/>
      <c r="K69" s="40"/>
      <c r="L69" s="41"/>
      <c r="M69" s="38"/>
      <c r="N69" s="15"/>
      <c r="O69" s="15"/>
      <c r="P69" s="15"/>
      <c r="Q69" s="15"/>
      <c r="R69" s="16"/>
      <c r="S69" s="38"/>
      <c r="T69" s="38"/>
      <c r="U69" s="38"/>
      <c r="V69" s="38"/>
      <c r="W69" s="38"/>
      <c r="X69" s="38"/>
      <c r="Y69" s="38"/>
      <c r="Z69" s="38"/>
      <c r="AA69" s="38"/>
      <c r="AB69" s="38"/>
      <c r="AC69" s="38"/>
    </row>
    <row r="70" spans="1:29" ht="12.75">
      <c r="A70" s="38"/>
      <c r="B70" s="38"/>
      <c r="C70" s="40"/>
      <c r="D70" s="41"/>
      <c r="E70" s="40"/>
      <c r="F70" s="41"/>
      <c r="G70" s="40"/>
      <c r="H70" s="41"/>
      <c r="I70" s="39"/>
      <c r="J70" s="39"/>
      <c r="K70" s="40"/>
      <c r="L70" s="41"/>
      <c r="M70" s="38"/>
      <c r="N70" s="15"/>
      <c r="O70" s="15"/>
      <c r="P70" s="15"/>
      <c r="Q70" s="15"/>
      <c r="R70" s="16"/>
      <c r="S70" s="38"/>
      <c r="T70" s="38"/>
      <c r="U70" s="38"/>
      <c r="V70" s="38"/>
      <c r="W70" s="38"/>
      <c r="X70" s="38"/>
      <c r="Y70" s="38"/>
      <c r="Z70" s="38"/>
      <c r="AA70" s="38"/>
      <c r="AB70" s="38"/>
      <c r="AC70" s="38"/>
    </row>
    <row r="71" spans="1:29" ht="12.75">
      <c r="A71" s="38"/>
      <c r="B71" s="38"/>
      <c r="C71" s="40"/>
      <c r="D71" s="41"/>
      <c r="E71" s="40"/>
      <c r="F71" s="41"/>
      <c r="G71" s="40"/>
      <c r="H71" s="41"/>
      <c r="I71" s="39"/>
      <c r="J71" s="39"/>
      <c r="K71" s="40"/>
      <c r="L71" s="41"/>
      <c r="M71" s="38"/>
      <c r="N71" s="15"/>
      <c r="O71" s="15"/>
      <c r="P71" s="15"/>
      <c r="Q71" s="15"/>
      <c r="R71" s="16"/>
      <c r="S71" s="38"/>
      <c r="T71" s="38"/>
      <c r="U71" s="38"/>
      <c r="V71" s="38"/>
      <c r="W71" s="38"/>
      <c r="X71" s="38"/>
      <c r="Y71" s="38"/>
      <c r="Z71" s="38"/>
      <c r="AA71" s="38"/>
      <c r="AB71" s="38"/>
      <c r="AC71" s="38"/>
    </row>
    <row r="72" spans="1:29" ht="12.75">
      <c r="A72" s="38"/>
      <c r="B72" s="38"/>
      <c r="C72" s="40"/>
      <c r="D72" s="41"/>
      <c r="E72" s="40"/>
      <c r="F72" s="41"/>
      <c r="G72" s="40"/>
      <c r="H72" s="41"/>
      <c r="I72" s="39"/>
      <c r="J72" s="39"/>
      <c r="K72" s="40"/>
      <c r="L72" s="41"/>
      <c r="M72" s="38"/>
      <c r="N72" s="15"/>
      <c r="O72" s="15"/>
      <c r="P72" s="15"/>
      <c r="Q72" s="15"/>
      <c r="R72" s="16"/>
      <c r="S72" s="38"/>
      <c r="T72" s="38"/>
      <c r="U72" s="38"/>
      <c r="V72" s="38"/>
      <c r="W72" s="38"/>
      <c r="X72" s="38"/>
      <c r="Y72" s="38"/>
      <c r="Z72" s="38"/>
      <c r="AA72" s="38"/>
      <c r="AB72" s="38"/>
      <c r="AC72" s="38"/>
    </row>
    <row r="73" spans="1:29" ht="12.75">
      <c r="A73" s="38"/>
      <c r="B73" s="38"/>
      <c r="C73" s="40"/>
      <c r="D73" s="41"/>
      <c r="E73" s="40"/>
      <c r="F73" s="41"/>
      <c r="G73" s="40"/>
      <c r="H73" s="41"/>
      <c r="I73" s="39"/>
      <c r="J73" s="39"/>
      <c r="K73" s="40"/>
      <c r="L73" s="41"/>
      <c r="M73" s="38"/>
      <c r="N73" s="15"/>
      <c r="O73" s="15"/>
      <c r="P73" s="15"/>
      <c r="Q73" s="15"/>
      <c r="R73" s="16"/>
      <c r="S73" s="38"/>
      <c r="T73" s="38"/>
      <c r="U73" s="38"/>
      <c r="V73" s="38"/>
      <c r="W73" s="38"/>
      <c r="X73" s="38"/>
      <c r="Y73" s="38"/>
      <c r="Z73" s="38"/>
      <c r="AA73" s="38"/>
      <c r="AB73" s="38"/>
      <c r="AC73" s="38"/>
    </row>
    <row r="74" spans="1:29" ht="12.75">
      <c r="A74" s="38"/>
      <c r="B74" s="38"/>
      <c r="C74" s="40"/>
      <c r="D74" s="41"/>
      <c r="E74" s="40"/>
      <c r="F74" s="41"/>
      <c r="G74" s="40"/>
      <c r="H74" s="41"/>
      <c r="I74" s="39"/>
      <c r="J74" s="39"/>
      <c r="K74" s="40"/>
      <c r="L74" s="41"/>
      <c r="M74" s="38"/>
      <c r="N74" s="15"/>
      <c r="O74" s="15"/>
      <c r="P74" s="15"/>
      <c r="Q74" s="15"/>
      <c r="R74" s="16"/>
      <c r="S74" s="38"/>
      <c r="T74" s="38"/>
      <c r="U74" s="38"/>
      <c r="V74" s="38"/>
      <c r="W74" s="38"/>
      <c r="X74" s="38"/>
      <c r="Y74" s="38"/>
      <c r="Z74" s="38"/>
      <c r="AA74" s="38"/>
      <c r="AB74" s="38"/>
      <c r="AC74" s="38"/>
    </row>
    <row r="75" spans="1:29" ht="12.75">
      <c r="A75" s="38"/>
      <c r="B75" s="38"/>
      <c r="C75" s="40"/>
      <c r="D75" s="41"/>
      <c r="E75" s="40"/>
      <c r="F75" s="41"/>
      <c r="G75" s="40"/>
      <c r="H75" s="41"/>
      <c r="I75" s="39"/>
      <c r="J75" s="39"/>
      <c r="K75" s="40"/>
      <c r="L75" s="41"/>
      <c r="M75" s="38"/>
      <c r="N75" s="15"/>
      <c r="O75" s="15"/>
      <c r="P75" s="15"/>
      <c r="Q75" s="15"/>
      <c r="R75" s="16"/>
      <c r="S75" s="38"/>
      <c r="T75" s="38"/>
      <c r="U75" s="38"/>
      <c r="V75" s="38"/>
      <c r="W75" s="38"/>
      <c r="X75" s="38"/>
      <c r="Y75" s="38"/>
      <c r="Z75" s="38"/>
      <c r="AA75" s="38"/>
      <c r="AB75" s="38"/>
      <c r="AC75" s="38"/>
    </row>
    <row r="76" spans="1:29" ht="12.75">
      <c r="A76" s="38"/>
      <c r="B76" s="38"/>
      <c r="C76" s="40"/>
      <c r="D76" s="41"/>
      <c r="E76" s="40"/>
      <c r="F76" s="41"/>
      <c r="G76" s="40"/>
      <c r="H76" s="41"/>
      <c r="I76" s="39"/>
      <c r="J76" s="39"/>
      <c r="K76" s="40"/>
      <c r="L76" s="41"/>
      <c r="M76" s="38"/>
      <c r="N76" s="15"/>
      <c r="O76" s="15"/>
      <c r="P76" s="15"/>
      <c r="Q76" s="15"/>
      <c r="R76" s="16"/>
      <c r="S76" s="38"/>
      <c r="T76" s="38"/>
      <c r="U76" s="38"/>
      <c r="V76" s="38"/>
      <c r="W76" s="38"/>
      <c r="X76" s="38"/>
      <c r="Y76" s="38"/>
      <c r="Z76" s="38"/>
      <c r="AA76" s="38"/>
      <c r="AB76" s="38"/>
      <c r="AC76" s="38"/>
    </row>
    <row r="77" spans="1:29" ht="12.75">
      <c r="A77" s="38"/>
      <c r="B77" s="38"/>
      <c r="C77" s="40"/>
      <c r="D77" s="41"/>
      <c r="E77" s="40"/>
      <c r="F77" s="41"/>
      <c r="G77" s="40"/>
      <c r="H77" s="41"/>
      <c r="I77" s="39"/>
      <c r="J77" s="39"/>
      <c r="K77" s="40"/>
      <c r="L77" s="41"/>
      <c r="M77" s="38"/>
      <c r="N77" s="15"/>
      <c r="O77" s="15"/>
      <c r="P77" s="15"/>
      <c r="Q77" s="15"/>
      <c r="R77" s="16"/>
      <c r="S77" s="38"/>
      <c r="T77" s="38"/>
      <c r="U77" s="38"/>
      <c r="V77" s="38"/>
      <c r="W77" s="38"/>
      <c r="X77" s="38"/>
      <c r="Y77" s="38"/>
      <c r="Z77" s="38"/>
      <c r="AA77" s="38"/>
      <c r="AB77" s="38"/>
      <c r="AC77" s="38"/>
    </row>
    <row r="78" spans="1:29" ht="12.75">
      <c r="A78" s="38"/>
      <c r="B78" s="38"/>
      <c r="C78" s="40"/>
      <c r="D78" s="41"/>
      <c r="E78" s="40"/>
      <c r="F78" s="41"/>
      <c r="G78" s="40"/>
      <c r="H78" s="41"/>
      <c r="I78" s="39"/>
      <c r="J78" s="39"/>
      <c r="K78" s="40"/>
      <c r="L78" s="41"/>
      <c r="M78" s="38"/>
      <c r="N78" s="15"/>
      <c r="O78" s="15"/>
      <c r="P78" s="15"/>
      <c r="Q78" s="15"/>
      <c r="R78" s="16"/>
      <c r="S78" s="38"/>
      <c r="T78" s="38"/>
      <c r="U78" s="38"/>
      <c r="V78" s="38"/>
      <c r="W78" s="38"/>
      <c r="X78" s="38"/>
      <c r="Y78" s="38"/>
      <c r="Z78" s="38"/>
      <c r="AA78" s="38"/>
      <c r="AB78" s="38"/>
      <c r="AC78" s="38"/>
    </row>
    <row r="79" spans="1:29" ht="12.75">
      <c r="A79" s="38"/>
      <c r="B79" s="38"/>
      <c r="C79" s="40"/>
      <c r="D79" s="41"/>
      <c r="E79" s="40"/>
      <c r="F79" s="41"/>
      <c r="G79" s="40"/>
      <c r="H79" s="41"/>
      <c r="I79" s="39"/>
      <c r="J79" s="39"/>
      <c r="K79" s="40"/>
      <c r="L79" s="41"/>
      <c r="M79" s="38"/>
      <c r="N79" s="15"/>
      <c r="O79" s="15"/>
      <c r="P79" s="15"/>
      <c r="Q79" s="15"/>
      <c r="R79" s="16"/>
      <c r="S79" s="38"/>
      <c r="T79" s="38"/>
      <c r="U79" s="38"/>
      <c r="V79" s="38"/>
      <c r="W79" s="38"/>
      <c r="X79" s="38"/>
      <c r="Y79" s="38"/>
      <c r="Z79" s="38"/>
      <c r="AA79" s="38"/>
      <c r="AB79" s="38"/>
      <c r="AC79" s="38"/>
    </row>
    <row r="80" spans="1:29" ht="12.75">
      <c r="A80" s="38"/>
      <c r="B80" s="38"/>
      <c r="C80" s="40"/>
      <c r="D80" s="41"/>
      <c r="E80" s="40"/>
      <c r="F80" s="41"/>
      <c r="G80" s="40"/>
      <c r="H80" s="41"/>
      <c r="I80" s="39"/>
      <c r="J80" s="39"/>
      <c r="K80" s="40"/>
      <c r="L80" s="41"/>
      <c r="M80" s="38"/>
      <c r="N80" s="15"/>
      <c r="O80" s="15"/>
      <c r="P80" s="15"/>
      <c r="Q80" s="15"/>
      <c r="R80" s="16"/>
      <c r="S80" s="38"/>
      <c r="T80" s="38"/>
      <c r="U80" s="38"/>
      <c r="V80" s="38"/>
      <c r="W80" s="38"/>
      <c r="X80" s="38"/>
      <c r="Y80" s="38"/>
      <c r="Z80" s="38"/>
      <c r="AA80" s="38"/>
      <c r="AB80" s="38"/>
      <c r="AC80" s="38"/>
    </row>
    <row r="81" spans="1:29" ht="12.75">
      <c r="A81" s="38"/>
      <c r="B81" s="38"/>
      <c r="C81" s="40"/>
      <c r="D81" s="41"/>
      <c r="E81" s="40"/>
      <c r="F81" s="41"/>
      <c r="G81" s="40"/>
      <c r="H81" s="41"/>
      <c r="I81" s="39"/>
      <c r="J81" s="39"/>
      <c r="K81" s="40"/>
      <c r="L81" s="41"/>
      <c r="M81" s="38"/>
      <c r="N81" s="15"/>
      <c r="O81" s="15"/>
      <c r="P81" s="15"/>
      <c r="Q81" s="15"/>
      <c r="R81" s="16"/>
      <c r="S81" s="38"/>
      <c r="T81" s="38"/>
      <c r="U81" s="38"/>
      <c r="V81" s="38"/>
      <c r="W81" s="38"/>
      <c r="X81" s="38"/>
      <c r="Y81" s="38"/>
      <c r="Z81" s="38"/>
      <c r="AA81" s="38"/>
      <c r="AB81" s="38"/>
      <c r="AC81" s="38"/>
    </row>
    <row r="82" spans="1:29" ht="12.75">
      <c r="A82" s="38"/>
      <c r="B82" s="38"/>
      <c r="C82" s="40"/>
      <c r="D82" s="41"/>
      <c r="E82" s="40"/>
      <c r="F82" s="41"/>
      <c r="G82" s="40"/>
      <c r="H82" s="41"/>
      <c r="I82" s="39"/>
      <c r="J82" s="39"/>
      <c r="K82" s="40"/>
      <c r="L82" s="41"/>
      <c r="M82" s="38"/>
      <c r="N82" s="15"/>
      <c r="O82" s="15"/>
      <c r="P82" s="15"/>
      <c r="Q82" s="15"/>
      <c r="R82" s="16"/>
      <c r="S82" s="38"/>
      <c r="T82" s="38"/>
      <c r="U82" s="38"/>
      <c r="V82" s="38"/>
      <c r="W82" s="38"/>
      <c r="X82" s="38"/>
      <c r="Y82" s="38"/>
      <c r="Z82" s="38"/>
      <c r="AA82" s="38"/>
      <c r="AB82" s="38"/>
      <c r="AC82" s="38"/>
    </row>
    <row r="83" spans="1:29" ht="12.75">
      <c r="A83" s="38"/>
      <c r="B83" s="38"/>
      <c r="C83" s="40"/>
      <c r="D83" s="41"/>
      <c r="E83" s="40"/>
      <c r="F83" s="41"/>
      <c r="G83" s="40"/>
      <c r="H83" s="41"/>
      <c r="I83" s="39"/>
      <c r="J83" s="39"/>
      <c r="K83" s="40"/>
      <c r="L83" s="41"/>
      <c r="M83" s="38"/>
      <c r="N83" s="15"/>
      <c r="O83" s="15"/>
      <c r="P83" s="15"/>
      <c r="Q83" s="15"/>
      <c r="R83" s="16"/>
      <c r="S83" s="38"/>
      <c r="T83" s="38"/>
      <c r="U83" s="38"/>
      <c r="V83" s="38"/>
      <c r="W83" s="38"/>
      <c r="X83" s="38"/>
      <c r="Y83" s="38"/>
      <c r="Z83" s="38"/>
      <c r="AA83" s="38"/>
      <c r="AB83" s="38"/>
      <c r="AC83" s="38"/>
    </row>
    <row r="84" spans="1:29" ht="12.75">
      <c r="A84" s="38"/>
      <c r="B84" s="38"/>
      <c r="C84" s="40"/>
      <c r="D84" s="41"/>
      <c r="E84" s="40"/>
      <c r="F84" s="41"/>
      <c r="G84" s="40"/>
      <c r="H84" s="41"/>
      <c r="I84" s="39"/>
      <c r="J84" s="39"/>
      <c r="K84" s="40"/>
      <c r="L84" s="41"/>
      <c r="M84" s="38"/>
      <c r="N84" s="15"/>
      <c r="O84" s="15"/>
      <c r="P84" s="15"/>
      <c r="Q84" s="15"/>
      <c r="R84" s="16"/>
      <c r="S84" s="38"/>
      <c r="T84" s="38"/>
      <c r="U84" s="38"/>
      <c r="V84" s="38"/>
      <c r="W84" s="38"/>
      <c r="X84" s="38"/>
      <c r="Y84" s="38"/>
      <c r="Z84" s="38"/>
      <c r="AA84" s="38"/>
      <c r="AB84" s="38"/>
      <c r="AC84" s="38"/>
    </row>
    <row r="85" spans="1:29" ht="12.75">
      <c r="A85" s="38"/>
      <c r="B85" s="38"/>
      <c r="C85" s="40"/>
      <c r="D85" s="41"/>
      <c r="E85" s="40"/>
      <c r="F85" s="41"/>
      <c r="G85" s="40"/>
      <c r="H85" s="41"/>
      <c r="I85" s="39"/>
      <c r="J85" s="39"/>
      <c r="K85" s="40"/>
      <c r="L85" s="41"/>
      <c r="M85" s="38"/>
      <c r="N85" s="15"/>
      <c r="O85" s="15"/>
      <c r="P85" s="15"/>
      <c r="Q85" s="15"/>
      <c r="R85" s="16"/>
      <c r="S85" s="38"/>
      <c r="T85" s="38"/>
      <c r="U85" s="38"/>
      <c r="V85" s="38"/>
      <c r="W85" s="38"/>
      <c r="X85" s="38"/>
      <c r="Y85" s="38"/>
      <c r="Z85" s="38"/>
      <c r="AA85" s="38"/>
      <c r="AB85" s="38"/>
      <c r="AC85" s="38"/>
    </row>
    <row r="86" spans="1:29" ht="12.75">
      <c r="A86" s="38"/>
      <c r="B86" s="38"/>
      <c r="C86" s="40"/>
      <c r="D86" s="41"/>
      <c r="E86" s="40"/>
      <c r="F86" s="41"/>
      <c r="G86" s="40"/>
      <c r="H86" s="41"/>
      <c r="I86" s="39"/>
      <c r="J86" s="39"/>
      <c r="K86" s="40"/>
      <c r="L86" s="41"/>
      <c r="M86" s="38"/>
      <c r="N86" s="15"/>
      <c r="O86" s="15"/>
      <c r="P86" s="15"/>
      <c r="Q86" s="15"/>
      <c r="R86" s="16"/>
      <c r="S86" s="38"/>
      <c r="T86" s="38"/>
      <c r="U86" s="38"/>
      <c r="V86" s="38"/>
      <c r="W86" s="38"/>
      <c r="X86" s="38"/>
      <c r="Y86" s="38"/>
      <c r="Z86" s="38"/>
      <c r="AA86" s="38"/>
      <c r="AB86" s="38"/>
      <c r="AC86" s="38"/>
    </row>
    <row r="87" spans="1:29" ht="12.75">
      <c r="A87" s="38"/>
      <c r="B87" s="38"/>
      <c r="C87" s="40"/>
      <c r="D87" s="41"/>
      <c r="E87" s="40"/>
      <c r="F87" s="41"/>
      <c r="G87" s="40"/>
      <c r="H87" s="41"/>
      <c r="I87" s="39"/>
      <c r="J87" s="39"/>
      <c r="K87" s="40"/>
      <c r="L87" s="41"/>
      <c r="M87" s="38"/>
      <c r="N87" s="15"/>
      <c r="O87" s="15"/>
      <c r="P87" s="15"/>
      <c r="Q87" s="15"/>
      <c r="R87" s="16"/>
      <c r="S87" s="38"/>
      <c r="T87" s="38"/>
      <c r="U87" s="38"/>
      <c r="V87" s="38"/>
      <c r="W87" s="38"/>
      <c r="X87" s="38"/>
      <c r="Y87" s="38"/>
      <c r="Z87" s="38"/>
      <c r="AA87" s="38"/>
      <c r="AB87" s="38"/>
      <c r="AC87" s="38"/>
    </row>
    <row r="88" spans="1:29" ht="12.75">
      <c r="A88" s="38"/>
      <c r="B88" s="38"/>
      <c r="C88" s="40"/>
      <c r="D88" s="41"/>
      <c r="E88" s="40"/>
      <c r="F88" s="41"/>
      <c r="G88" s="40"/>
      <c r="H88" s="41"/>
      <c r="I88" s="39"/>
      <c r="J88" s="39"/>
      <c r="K88" s="40"/>
      <c r="L88" s="41"/>
      <c r="M88" s="38"/>
      <c r="N88" s="15"/>
      <c r="O88" s="15"/>
      <c r="P88" s="15"/>
      <c r="Q88" s="15"/>
      <c r="R88" s="16"/>
      <c r="S88" s="38"/>
      <c r="T88" s="38"/>
      <c r="U88" s="38"/>
      <c r="V88" s="38"/>
      <c r="W88" s="38"/>
      <c r="X88" s="38"/>
      <c r="Y88" s="38"/>
      <c r="Z88" s="38"/>
      <c r="AA88" s="38"/>
      <c r="AB88" s="38"/>
      <c r="AC88" s="38"/>
    </row>
    <row r="89" spans="1:29" ht="12.75">
      <c r="A89" s="38"/>
      <c r="B89" s="38"/>
      <c r="C89" s="40"/>
      <c r="D89" s="41"/>
      <c r="E89" s="40"/>
      <c r="F89" s="41"/>
      <c r="G89" s="40"/>
      <c r="H89" s="41"/>
      <c r="I89" s="39"/>
      <c r="J89" s="39"/>
      <c r="K89" s="40"/>
      <c r="L89" s="41"/>
      <c r="M89" s="38"/>
      <c r="N89" s="15"/>
      <c r="O89" s="15"/>
      <c r="P89" s="15"/>
      <c r="Q89" s="15"/>
      <c r="R89" s="16"/>
      <c r="S89" s="38"/>
      <c r="T89" s="38"/>
      <c r="U89" s="38"/>
      <c r="V89" s="38"/>
      <c r="W89" s="38"/>
      <c r="X89" s="38"/>
      <c r="Y89" s="38"/>
      <c r="Z89" s="38"/>
      <c r="AA89" s="38"/>
      <c r="AB89" s="38"/>
      <c r="AC89" s="38"/>
    </row>
    <row r="90" spans="1:29" ht="12.75">
      <c r="A90" s="38"/>
      <c r="B90" s="38"/>
      <c r="C90" s="40"/>
      <c r="D90" s="41"/>
      <c r="E90" s="40"/>
      <c r="F90" s="41"/>
      <c r="G90" s="40"/>
      <c r="H90" s="41"/>
      <c r="I90" s="39"/>
      <c r="J90" s="39"/>
      <c r="K90" s="40"/>
      <c r="L90" s="41"/>
      <c r="M90" s="38"/>
      <c r="N90" s="15"/>
      <c r="O90" s="15"/>
      <c r="P90" s="15"/>
      <c r="Q90" s="15"/>
      <c r="R90" s="16"/>
      <c r="S90" s="38"/>
      <c r="T90" s="38"/>
      <c r="U90" s="38"/>
      <c r="V90" s="38"/>
      <c r="W90" s="38"/>
      <c r="X90" s="38"/>
      <c r="Y90" s="38"/>
      <c r="Z90" s="38"/>
      <c r="AA90" s="38"/>
      <c r="AB90" s="38"/>
      <c r="AC90" s="38"/>
    </row>
    <row r="91" spans="1:29" ht="12.75">
      <c r="A91" s="38"/>
      <c r="B91" s="38"/>
      <c r="C91" s="40"/>
      <c r="D91" s="41"/>
      <c r="E91" s="40"/>
      <c r="F91" s="41"/>
      <c r="G91" s="40"/>
      <c r="H91" s="41"/>
      <c r="I91" s="39"/>
      <c r="J91" s="39"/>
      <c r="K91" s="40"/>
      <c r="L91" s="41"/>
      <c r="M91" s="38"/>
      <c r="N91" s="15"/>
      <c r="O91" s="15"/>
      <c r="P91" s="15"/>
      <c r="Q91" s="15"/>
      <c r="R91" s="16"/>
      <c r="S91" s="38"/>
      <c r="T91" s="38"/>
      <c r="U91" s="38"/>
      <c r="V91" s="38"/>
      <c r="W91" s="38"/>
      <c r="X91" s="38"/>
      <c r="Y91" s="38"/>
      <c r="Z91" s="38"/>
      <c r="AA91" s="38"/>
      <c r="AB91" s="38"/>
      <c r="AC91" s="38"/>
    </row>
    <row r="92" spans="1:29" ht="12.75">
      <c r="A92" s="38"/>
      <c r="B92" s="38"/>
      <c r="C92" s="40"/>
      <c r="D92" s="41"/>
      <c r="E92" s="40"/>
      <c r="F92" s="41"/>
      <c r="G92" s="40"/>
      <c r="H92" s="41"/>
      <c r="I92" s="39"/>
      <c r="J92" s="39"/>
      <c r="K92" s="40"/>
      <c r="L92" s="41"/>
      <c r="M92" s="38"/>
      <c r="N92" s="15"/>
      <c r="O92" s="15"/>
      <c r="P92" s="15"/>
      <c r="Q92" s="15"/>
      <c r="R92" s="16"/>
      <c r="S92" s="38"/>
      <c r="T92" s="38"/>
      <c r="U92" s="38"/>
      <c r="V92" s="38"/>
      <c r="W92" s="38"/>
      <c r="X92" s="38"/>
      <c r="Y92" s="38"/>
      <c r="Z92" s="38"/>
      <c r="AA92" s="38"/>
      <c r="AB92" s="38"/>
      <c r="AC92" s="38"/>
    </row>
    <row r="93" spans="1:29" ht="12.75">
      <c r="A93" s="38"/>
      <c r="B93" s="38"/>
      <c r="C93" s="40"/>
      <c r="D93" s="41"/>
      <c r="E93" s="40"/>
      <c r="F93" s="41"/>
      <c r="G93" s="40"/>
      <c r="H93" s="41"/>
      <c r="I93" s="39"/>
      <c r="J93" s="39"/>
      <c r="K93" s="40"/>
      <c r="L93" s="41"/>
      <c r="M93" s="38"/>
      <c r="N93" s="15"/>
      <c r="O93" s="15"/>
      <c r="P93" s="15"/>
      <c r="Q93" s="15"/>
      <c r="R93" s="16"/>
      <c r="S93" s="38"/>
      <c r="T93" s="38"/>
      <c r="U93" s="38"/>
      <c r="V93" s="38"/>
      <c r="W93" s="38"/>
      <c r="X93" s="38"/>
      <c r="Y93" s="38"/>
      <c r="Z93" s="38"/>
      <c r="AA93" s="38"/>
      <c r="AB93" s="38"/>
      <c r="AC93" s="38"/>
    </row>
    <row r="94" spans="1:29" ht="12.75">
      <c r="A94" s="38"/>
      <c r="B94" s="38"/>
      <c r="C94" s="40"/>
      <c r="D94" s="41"/>
      <c r="E94" s="40"/>
      <c r="F94" s="41"/>
      <c r="G94" s="40"/>
      <c r="H94" s="41"/>
      <c r="I94" s="39"/>
      <c r="J94" s="39"/>
      <c r="K94" s="40"/>
      <c r="L94" s="41"/>
      <c r="M94" s="38"/>
      <c r="N94" s="15"/>
      <c r="O94" s="15"/>
      <c r="P94" s="15"/>
      <c r="Q94" s="15"/>
      <c r="R94" s="16"/>
      <c r="S94" s="38"/>
      <c r="T94" s="38"/>
      <c r="U94" s="38"/>
      <c r="V94" s="38"/>
      <c r="W94" s="38"/>
      <c r="X94" s="38"/>
      <c r="Y94" s="38"/>
      <c r="Z94" s="38"/>
      <c r="AA94" s="38"/>
      <c r="AB94" s="38"/>
      <c r="AC94" s="38"/>
    </row>
    <row r="95" spans="1:29" ht="12.75">
      <c r="A95" s="38"/>
      <c r="B95" s="38"/>
      <c r="C95" s="40"/>
      <c r="D95" s="41"/>
      <c r="E95" s="40"/>
      <c r="F95" s="41"/>
      <c r="G95" s="40"/>
      <c r="H95" s="41"/>
      <c r="I95" s="39"/>
      <c r="J95" s="39"/>
      <c r="K95" s="40"/>
      <c r="L95" s="41"/>
      <c r="M95" s="38"/>
      <c r="N95" s="15"/>
      <c r="O95" s="15"/>
      <c r="P95" s="15"/>
      <c r="Q95" s="15"/>
      <c r="R95" s="16"/>
      <c r="S95" s="38"/>
      <c r="T95" s="38"/>
      <c r="U95" s="38"/>
      <c r="V95" s="38"/>
      <c r="W95" s="38"/>
      <c r="X95" s="38"/>
      <c r="Y95" s="38"/>
      <c r="Z95" s="38"/>
      <c r="AA95" s="38"/>
      <c r="AB95" s="38"/>
      <c r="AC95" s="38"/>
    </row>
    <row r="96" spans="1:29" ht="12.75">
      <c r="A96" s="38"/>
      <c r="B96" s="38"/>
      <c r="C96" s="40"/>
      <c r="D96" s="41"/>
      <c r="E96" s="40"/>
      <c r="F96" s="41"/>
      <c r="G96" s="40"/>
      <c r="H96" s="41"/>
      <c r="I96" s="39"/>
      <c r="J96" s="39"/>
      <c r="K96" s="40"/>
      <c r="L96" s="41"/>
      <c r="M96" s="38"/>
      <c r="N96" s="15"/>
      <c r="O96" s="15"/>
      <c r="P96" s="15"/>
      <c r="Q96" s="15"/>
      <c r="R96" s="16"/>
      <c r="S96" s="38"/>
      <c r="T96" s="38"/>
      <c r="U96" s="38"/>
      <c r="V96" s="38"/>
      <c r="W96" s="38"/>
      <c r="X96" s="38"/>
      <c r="Y96" s="38"/>
      <c r="Z96" s="38"/>
      <c r="AA96" s="38"/>
      <c r="AB96" s="38"/>
      <c r="AC96" s="38"/>
    </row>
    <row r="97" spans="1:29" ht="12.75">
      <c r="A97" s="38"/>
      <c r="B97" s="38"/>
      <c r="C97" s="40"/>
      <c r="D97" s="41"/>
      <c r="E97" s="40"/>
      <c r="F97" s="41"/>
      <c r="G97" s="40"/>
      <c r="H97" s="41"/>
      <c r="I97" s="39"/>
      <c r="J97" s="39"/>
      <c r="K97" s="40"/>
      <c r="L97" s="41"/>
      <c r="M97" s="38"/>
      <c r="N97" s="15"/>
      <c r="O97" s="15"/>
      <c r="P97" s="15"/>
      <c r="Q97" s="15"/>
      <c r="R97" s="16"/>
      <c r="S97" s="38"/>
      <c r="T97" s="38"/>
      <c r="U97" s="38"/>
      <c r="V97" s="38"/>
      <c r="W97" s="38"/>
      <c r="X97" s="38"/>
      <c r="Y97" s="38"/>
      <c r="Z97" s="38"/>
      <c r="AA97" s="38"/>
      <c r="AB97" s="38"/>
      <c r="AC97" s="38"/>
    </row>
    <row r="98" spans="1:29" ht="12.75">
      <c r="A98" s="38"/>
      <c r="B98" s="38"/>
      <c r="C98" s="40"/>
      <c r="D98" s="41"/>
      <c r="E98" s="40"/>
      <c r="F98" s="41"/>
      <c r="G98" s="40"/>
      <c r="H98" s="41"/>
      <c r="I98" s="39"/>
      <c r="J98" s="39"/>
      <c r="K98" s="40"/>
      <c r="L98" s="41"/>
      <c r="M98" s="38"/>
      <c r="N98" s="15"/>
      <c r="O98" s="15"/>
      <c r="P98" s="15"/>
      <c r="Q98" s="15"/>
      <c r="R98" s="16"/>
      <c r="S98" s="38"/>
      <c r="T98" s="38"/>
      <c r="U98" s="38"/>
      <c r="V98" s="38"/>
      <c r="W98" s="38"/>
      <c r="X98" s="38"/>
      <c r="Y98" s="38"/>
      <c r="Z98" s="38"/>
      <c r="AA98" s="38"/>
      <c r="AB98" s="38"/>
      <c r="AC98" s="38"/>
    </row>
    <row r="99" spans="1:29" ht="12.75">
      <c r="A99" s="38"/>
      <c r="B99" s="38"/>
      <c r="C99" s="40"/>
      <c r="D99" s="41"/>
      <c r="E99" s="40"/>
      <c r="F99" s="41"/>
      <c r="G99" s="40"/>
      <c r="H99" s="41"/>
      <c r="I99" s="39"/>
      <c r="J99" s="39"/>
      <c r="K99" s="40"/>
      <c r="L99" s="41"/>
      <c r="M99" s="38"/>
      <c r="N99" s="15"/>
      <c r="O99" s="15"/>
      <c r="P99" s="15"/>
      <c r="Q99" s="15"/>
      <c r="R99" s="16"/>
      <c r="S99" s="38"/>
      <c r="T99" s="38"/>
      <c r="U99" s="38"/>
      <c r="V99" s="38"/>
      <c r="W99" s="38"/>
      <c r="X99" s="38"/>
      <c r="Y99" s="38"/>
      <c r="Z99" s="38"/>
      <c r="AA99" s="38"/>
      <c r="AB99" s="38"/>
      <c r="AC99" s="38"/>
    </row>
    <row r="100" spans="1:29" ht="12.75">
      <c r="A100" s="38"/>
      <c r="B100" s="38"/>
      <c r="C100" s="40"/>
      <c r="D100" s="41"/>
      <c r="E100" s="40"/>
      <c r="F100" s="41"/>
      <c r="G100" s="40"/>
      <c r="H100" s="41"/>
      <c r="I100" s="39"/>
      <c r="J100" s="39"/>
      <c r="K100" s="40"/>
      <c r="L100" s="41"/>
      <c r="M100" s="38"/>
      <c r="N100" s="15"/>
      <c r="O100" s="15"/>
      <c r="P100" s="15"/>
      <c r="Q100" s="15"/>
      <c r="R100" s="16"/>
      <c r="S100" s="38"/>
      <c r="T100" s="38"/>
      <c r="U100" s="38"/>
      <c r="V100" s="38"/>
      <c r="W100" s="38"/>
      <c r="X100" s="38"/>
      <c r="Y100" s="38"/>
      <c r="Z100" s="38"/>
      <c r="AA100" s="38"/>
      <c r="AB100" s="38"/>
      <c r="AC100" s="38"/>
    </row>
    <row r="101" spans="1:29" ht="12.75">
      <c r="A101" s="38"/>
      <c r="B101" s="38"/>
      <c r="C101" s="40"/>
      <c r="D101" s="41"/>
      <c r="E101" s="40"/>
      <c r="F101" s="41"/>
      <c r="G101" s="40"/>
      <c r="H101" s="41"/>
      <c r="I101" s="39"/>
      <c r="J101" s="39"/>
      <c r="K101" s="40"/>
      <c r="L101" s="41"/>
      <c r="M101" s="38"/>
      <c r="N101" s="15"/>
      <c r="O101" s="15"/>
      <c r="P101" s="15"/>
      <c r="Q101" s="15"/>
      <c r="R101" s="16"/>
      <c r="S101" s="38"/>
      <c r="T101" s="38"/>
      <c r="U101" s="38"/>
      <c r="V101" s="38"/>
      <c r="W101" s="38"/>
      <c r="X101" s="38"/>
      <c r="Y101" s="38"/>
      <c r="Z101" s="38"/>
      <c r="AA101" s="38"/>
      <c r="AB101" s="38"/>
      <c r="AC101" s="38"/>
    </row>
    <row r="102" spans="1:29" ht="12.75">
      <c r="A102" s="38"/>
      <c r="B102" s="38"/>
      <c r="C102" s="40"/>
      <c r="D102" s="41"/>
      <c r="E102" s="40"/>
      <c r="F102" s="41"/>
      <c r="G102" s="40"/>
      <c r="H102" s="41"/>
      <c r="I102" s="39"/>
      <c r="J102" s="39"/>
      <c r="K102" s="40"/>
      <c r="L102" s="41"/>
      <c r="M102" s="38"/>
      <c r="N102" s="15"/>
      <c r="O102" s="15"/>
      <c r="P102" s="15"/>
      <c r="Q102" s="15"/>
      <c r="R102" s="16"/>
      <c r="S102" s="38"/>
      <c r="T102" s="38"/>
      <c r="U102" s="38"/>
      <c r="V102" s="38"/>
      <c r="W102" s="38"/>
      <c r="X102" s="38"/>
      <c r="Y102" s="38"/>
      <c r="Z102" s="38"/>
      <c r="AA102" s="38"/>
      <c r="AB102" s="38"/>
      <c r="AC102" s="38"/>
    </row>
    <row r="103" spans="1:29" ht="12.75">
      <c r="A103" s="38"/>
      <c r="B103" s="38"/>
      <c r="C103" s="40"/>
      <c r="D103" s="41"/>
      <c r="E103" s="40"/>
      <c r="F103" s="41"/>
      <c r="G103" s="40"/>
      <c r="H103" s="41"/>
      <c r="I103" s="39"/>
      <c r="J103" s="39"/>
      <c r="K103" s="40"/>
      <c r="L103" s="41"/>
      <c r="M103" s="38"/>
      <c r="N103" s="15"/>
      <c r="O103" s="15"/>
      <c r="P103" s="15"/>
      <c r="Q103" s="15"/>
      <c r="R103" s="16"/>
      <c r="S103" s="38"/>
      <c r="T103" s="38"/>
      <c r="U103" s="38"/>
      <c r="V103" s="38"/>
      <c r="W103" s="38"/>
      <c r="X103" s="38"/>
      <c r="Y103" s="38"/>
      <c r="Z103" s="38"/>
      <c r="AA103" s="38"/>
      <c r="AB103" s="38"/>
      <c r="AC103" s="38"/>
    </row>
    <row r="104" spans="1:29" ht="12.75">
      <c r="A104" s="38"/>
      <c r="B104" s="38"/>
      <c r="C104" s="40"/>
      <c r="D104" s="41"/>
      <c r="E104" s="40"/>
      <c r="F104" s="41"/>
      <c r="G104" s="40"/>
      <c r="H104" s="41"/>
      <c r="I104" s="39"/>
      <c r="J104" s="39"/>
      <c r="K104" s="40"/>
      <c r="L104" s="41"/>
      <c r="M104" s="38"/>
      <c r="N104" s="15"/>
      <c r="O104" s="15"/>
      <c r="P104" s="15"/>
      <c r="Q104" s="15"/>
      <c r="R104" s="16"/>
      <c r="S104" s="38"/>
      <c r="T104" s="38"/>
      <c r="U104" s="38"/>
      <c r="V104" s="38"/>
      <c r="W104" s="38"/>
      <c r="X104" s="38"/>
      <c r="Y104" s="38"/>
      <c r="Z104" s="38"/>
      <c r="AA104" s="38"/>
      <c r="AB104" s="38"/>
      <c r="AC104" s="38"/>
    </row>
    <row r="105" spans="1:29" ht="12.75">
      <c r="A105" s="38"/>
      <c r="B105" s="38"/>
      <c r="C105" s="40"/>
      <c r="D105" s="41"/>
      <c r="E105" s="40"/>
      <c r="F105" s="41"/>
      <c r="G105" s="40"/>
      <c r="H105" s="41"/>
      <c r="I105" s="39"/>
      <c r="J105" s="39"/>
      <c r="K105" s="40"/>
      <c r="L105" s="41"/>
      <c r="M105" s="38"/>
      <c r="N105" s="15"/>
      <c r="O105" s="15"/>
      <c r="P105" s="15"/>
      <c r="Q105" s="15"/>
      <c r="R105" s="16"/>
      <c r="S105" s="38"/>
      <c r="T105" s="38"/>
      <c r="U105" s="38"/>
      <c r="V105" s="38"/>
      <c r="W105" s="38"/>
      <c r="X105" s="38"/>
      <c r="Y105" s="38"/>
      <c r="Z105" s="38"/>
      <c r="AA105" s="38"/>
      <c r="AB105" s="38"/>
      <c r="AC105" s="38"/>
    </row>
    <row r="106" spans="1:29" ht="12.75">
      <c r="A106" s="38"/>
      <c r="B106" s="38"/>
      <c r="C106" s="40"/>
      <c r="D106" s="41"/>
      <c r="E106" s="40"/>
      <c r="F106" s="41"/>
      <c r="G106" s="40"/>
      <c r="H106" s="41"/>
      <c r="I106" s="39"/>
      <c r="J106" s="39"/>
      <c r="K106" s="40"/>
      <c r="L106" s="41"/>
      <c r="M106" s="38"/>
      <c r="N106" s="15"/>
      <c r="O106" s="15"/>
      <c r="P106" s="15"/>
      <c r="Q106" s="15"/>
      <c r="R106" s="16"/>
      <c r="S106" s="38"/>
      <c r="T106" s="38"/>
      <c r="U106" s="38"/>
      <c r="V106" s="38"/>
      <c r="W106" s="38"/>
      <c r="X106" s="38"/>
      <c r="Y106" s="38"/>
      <c r="Z106" s="38"/>
      <c r="AA106" s="38"/>
      <c r="AB106" s="38"/>
      <c r="AC106" s="38"/>
    </row>
    <row r="107" spans="1:29" ht="12.75">
      <c r="A107" s="38"/>
      <c r="B107" s="38"/>
      <c r="C107" s="40"/>
      <c r="D107" s="41"/>
      <c r="E107" s="40"/>
      <c r="F107" s="41"/>
      <c r="G107" s="40"/>
      <c r="H107" s="41"/>
      <c r="I107" s="39"/>
      <c r="J107" s="39"/>
      <c r="K107" s="40"/>
      <c r="L107" s="41"/>
      <c r="M107" s="38"/>
      <c r="N107" s="15"/>
      <c r="O107" s="15"/>
      <c r="P107" s="15"/>
      <c r="Q107" s="15"/>
      <c r="R107" s="16"/>
      <c r="S107" s="38"/>
      <c r="T107" s="38"/>
      <c r="U107" s="38"/>
      <c r="V107" s="38"/>
      <c r="W107" s="38"/>
      <c r="X107" s="38"/>
      <c r="Y107" s="38"/>
      <c r="Z107" s="38"/>
      <c r="AA107" s="38"/>
      <c r="AB107" s="38"/>
      <c r="AC107" s="38"/>
    </row>
    <row r="108" spans="1:29" ht="12.75">
      <c r="A108" s="38"/>
      <c r="B108" s="38"/>
      <c r="C108" s="40"/>
      <c r="D108" s="41"/>
      <c r="E108" s="40"/>
      <c r="F108" s="41"/>
      <c r="G108" s="40"/>
      <c r="H108" s="41"/>
      <c r="I108" s="39"/>
      <c r="J108" s="39"/>
      <c r="K108" s="40"/>
      <c r="L108" s="41"/>
      <c r="M108" s="38"/>
      <c r="N108" s="15"/>
      <c r="O108" s="15"/>
      <c r="P108" s="15"/>
      <c r="Q108" s="15"/>
      <c r="R108" s="16"/>
      <c r="S108" s="38"/>
      <c r="T108" s="38"/>
      <c r="U108" s="38"/>
      <c r="V108" s="38"/>
      <c r="W108" s="38"/>
      <c r="X108" s="38"/>
      <c r="Y108" s="38"/>
      <c r="Z108" s="38"/>
      <c r="AA108" s="38"/>
      <c r="AB108" s="38"/>
      <c r="AC108" s="38"/>
    </row>
    <row r="109" spans="1:29" ht="12.75">
      <c r="A109" s="38"/>
      <c r="B109" s="38"/>
      <c r="C109" s="40"/>
      <c r="D109" s="41"/>
      <c r="E109" s="40"/>
      <c r="F109" s="41"/>
      <c r="G109" s="40"/>
      <c r="H109" s="41"/>
      <c r="I109" s="39"/>
      <c r="J109" s="39"/>
      <c r="K109" s="40"/>
      <c r="L109" s="41"/>
      <c r="M109" s="38"/>
      <c r="N109" s="15"/>
      <c r="O109" s="15"/>
      <c r="P109" s="15"/>
      <c r="Q109" s="15"/>
      <c r="R109" s="16"/>
      <c r="S109" s="38"/>
      <c r="T109" s="38"/>
      <c r="U109" s="38"/>
      <c r="V109" s="38"/>
      <c r="W109" s="38"/>
      <c r="X109" s="38"/>
      <c r="Y109" s="38"/>
      <c r="Z109" s="38"/>
      <c r="AA109" s="38"/>
      <c r="AB109" s="38"/>
      <c r="AC109" s="38"/>
    </row>
    <row r="110" spans="1:29" ht="12.75">
      <c r="A110" s="38"/>
      <c r="B110" s="38"/>
      <c r="C110" s="40"/>
      <c r="D110" s="41"/>
      <c r="E110" s="40"/>
      <c r="F110" s="41"/>
      <c r="G110" s="40"/>
      <c r="H110" s="41"/>
      <c r="I110" s="39"/>
      <c r="J110" s="39"/>
      <c r="K110" s="40"/>
      <c r="L110" s="41"/>
      <c r="M110" s="38"/>
      <c r="N110" s="15"/>
      <c r="O110" s="15"/>
      <c r="P110" s="15"/>
      <c r="Q110" s="15"/>
      <c r="R110" s="16"/>
      <c r="S110" s="38"/>
      <c r="T110" s="38"/>
      <c r="U110" s="38"/>
      <c r="V110" s="38"/>
      <c r="W110" s="38"/>
      <c r="X110" s="38"/>
      <c r="Y110" s="38"/>
      <c r="Z110" s="38"/>
      <c r="AA110" s="38"/>
      <c r="AB110" s="38"/>
      <c r="AC110" s="38"/>
    </row>
    <row r="111" spans="1:29" ht="12.75">
      <c r="A111" s="38"/>
      <c r="B111" s="38"/>
      <c r="C111" s="40"/>
      <c r="D111" s="41"/>
      <c r="E111" s="40"/>
      <c r="F111" s="41"/>
      <c r="G111" s="40"/>
      <c r="H111" s="41"/>
      <c r="I111" s="39"/>
      <c r="J111" s="39"/>
      <c r="K111" s="40"/>
      <c r="L111" s="41"/>
      <c r="M111" s="38"/>
      <c r="N111" s="15"/>
      <c r="O111" s="15"/>
      <c r="P111" s="15"/>
      <c r="Q111" s="15"/>
      <c r="R111" s="16"/>
      <c r="S111" s="38"/>
      <c r="T111" s="38"/>
      <c r="U111" s="38"/>
      <c r="V111" s="38"/>
      <c r="W111" s="38"/>
      <c r="X111" s="38"/>
      <c r="Y111" s="38"/>
      <c r="Z111" s="38"/>
      <c r="AA111" s="38"/>
      <c r="AB111" s="38"/>
      <c r="AC111" s="38"/>
    </row>
    <row r="112" spans="1:29" ht="12.75">
      <c r="A112" s="38"/>
      <c r="B112" s="38"/>
      <c r="C112" s="40"/>
      <c r="D112" s="41"/>
      <c r="E112" s="40"/>
      <c r="F112" s="41"/>
      <c r="G112" s="40"/>
      <c r="H112" s="41"/>
      <c r="I112" s="39"/>
      <c r="J112" s="39"/>
      <c r="K112" s="40"/>
      <c r="L112" s="41"/>
      <c r="M112" s="38"/>
      <c r="N112" s="15"/>
      <c r="O112" s="15"/>
      <c r="P112" s="15"/>
      <c r="Q112" s="15"/>
      <c r="R112" s="16"/>
      <c r="S112" s="38"/>
      <c r="T112" s="38"/>
      <c r="U112" s="38"/>
      <c r="V112" s="38"/>
      <c r="W112" s="38"/>
      <c r="X112" s="38"/>
      <c r="Y112" s="38"/>
      <c r="Z112" s="38"/>
      <c r="AA112" s="38"/>
      <c r="AB112" s="38"/>
      <c r="AC112" s="38"/>
    </row>
    <row r="113" spans="1:29" ht="12.75">
      <c r="A113" s="38"/>
      <c r="B113" s="38"/>
      <c r="C113" s="40"/>
      <c r="D113" s="41"/>
      <c r="E113" s="40"/>
      <c r="F113" s="41"/>
      <c r="G113" s="40"/>
      <c r="H113" s="41"/>
      <c r="I113" s="39"/>
      <c r="J113" s="39"/>
      <c r="K113" s="40"/>
      <c r="L113" s="41"/>
      <c r="M113" s="38"/>
      <c r="N113" s="15"/>
      <c r="O113" s="15"/>
      <c r="P113" s="15"/>
      <c r="Q113" s="15"/>
      <c r="R113" s="16"/>
      <c r="S113" s="38"/>
      <c r="T113" s="38"/>
      <c r="U113" s="38"/>
      <c r="V113" s="38"/>
      <c r="W113" s="38"/>
      <c r="X113" s="38"/>
      <c r="Y113" s="38"/>
      <c r="Z113" s="38"/>
      <c r="AA113" s="38"/>
      <c r="AB113" s="38"/>
      <c r="AC113" s="38"/>
    </row>
    <row r="114" spans="1:29" ht="12.75">
      <c r="A114" s="38"/>
      <c r="B114" s="38"/>
      <c r="C114" s="40"/>
      <c r="D114" s="41"/>
      <c r="E114" s="40"/>
      <c r="F114" s="41"/>
      <c r="G114" s="40"/>
      <c r="H114" s="41"/>
      <c r="I114" s="39"/>
      <c r="J114" s="39"/>
      <c r="K114" s="40"/>
      <c r="L114" s="41"/>
      <c r="M114" s="38"/>
      <c r="N114" s="15"/>
      <c r="O114" s="15"/>
      <c r="P114" s="15"/>
      <c r="Q114" s="15"/>
      <c r="R114" s="16"/>
      <c r="S114" s="38"/>
      <c r="T114" s="38"/>
      <c r="U114" s="38"/>
      <c r="V114" s="38"/>
      <c r="W114" s="38"/>
      <c r="X114" s="38"/>
      <c r="Y114" s="38"/>
      <c r="Z114" s="38"/>
      <c r="AA114" s="38"/>
      <c r="AB114" s="38"/>
      <c r="AC114" s="38"/>
    </row>
    <row r="115" spans="1:29" ht="12.75">
      <c r="A115" s="38"/>
      <c r="B115" s="38"/>
      <c r="C115" s="40"/>
      <c r="D115" s="41"/>
      <c r="E115" s="40"/>
      <c r="F115" s="41"/>
      <c r="G115" s="40"/>
      <c r="H115" s="41"/>
      <c r="I115" s="39"/>
      <c r="J115" s="39"/>
      <c r="K115" s="40"/>
      <c r="L115" s="41"/>
      <c r="M115" s="38"/>
      <c r="N115" s="15"/>
      <c r="O115" s="15"/>
      <c r="P115" s="15"/>
      <c r="Q115" s="15"/>
      <c r="R115" s="16"/>
      <c r="S115" s="38"/>
      <c r="T115" s="38"/>
      <c r="U115" s="38"/>
      <c r="V115" s="38"/>
      <c r="W115" s="38"/>
      <c r="X115" s="38"/>
      <c r="Y115" s="38"/>
      <c r="Z115" s="38"/>
      <c r="AA115" s="38"/>
      <c r="AB115" s="38"/>
      <c r="AC115" s="38"/>
    </row>
    <row r="116" spans="1:29" ht="12.75">
      <c r="A116" s="38"/>
      <c r="B116" s="38"/>
      <c r="C116" s="40"/>
      <c r="D116" s="41"/>
      <c r="E116" s="40"/>
      <c r="F116" s="41"/>
      <c r="G116" s="40"/>
      <c r="H116" s="41"/>
      <c r="I116" s="39"/>
      <c r="J116" s="39"/>
      <c r="K116" s="40"/>
      <c r="L116" s="41"/>
      <c r="M116" s="38"/>
      <c r="N116" s="15"/>
      <c r="O116" s="15"/>
      <c r="P116" s="15"/>
      <c r="Q116" s="15"/>
      <c r="R116" s="16"/>
      <c r="S116" s="38"/>
      <c r="T116" s="38"/>
      <c r="U116" s="38"/>
      <c r="V116" s="38"/>
      <c r="W116" s="38"/>
      <c r="X116" s="38"/>
      <c r="Y116" s="38"/>
      <c r="Z116" s="38"/>
      <c r="AA116" s="38"/>
      <c r="AB116" s="38"/>
      <c r="AC116" s="38"/>
    </row>
    <row r="117" spans="1:29" ht="12.75">
      <c r="A117" s="38"/>
      <c r="B117" s="38"/>
      <c r="C117" s="40"/>
      <c r="D117" s="41"/>
      <c r="E117" s="40"/>
      <c r="F117" s="41"/>
      <c r="G117" s="40"/>
      <c r="H117" s="41"/>
      <c r="I117" s="39"/>
      <c r="J117" s="39"/>
      <c r="K117" s="40"/>
      <c r="L117" s="41"/>
      <c r="M117" s="38"/>
      <c r="N117" s="15"/>
      <c r="O117" s="15"/>
      <c r="P117" s="15"/>
      <c r="Q117" s="15"/>
      <c r="R117" s="16"/>
      <c r="S117" s="38"/>
      <c r="T117" s="38"/>
      <c r="U117" s="38"/>
      <c r="V117" s="38"/>
      <c r="W117" s="38"/>
      <c r="X117" s="38"/>
      <c r="Y117" s="38"/>
      <c r="Z117" s="38"/>
      <c r="AA117" s="38"/>
      <c r="AB117" s="38"/>
      <c r="AC117" s="38"/>
    </row>
    <row r="118" spans="1:29" ht="12.75">
      <c r="A118" s="38"/>
      <c r="B118" s="38"/>
      <c r="C118" s="40"/>
      <c r="D118" s="41"/>
      <c r="E118" s="40"/>
      <c r="F118" s="41"/>
      <c r="G118" s="40"/>
      <c r="H118" s="41"/>
      <c r="I118" s="39"/>
      <c r="J118" s="39"/>
      <c r="K118" s="40"/>
      <c r="L118" s="41"/>
      <c r="M118" s="38"/>
      <c r="N118" s="15"/>
      <c r="O118" s="15"/>
      <c r="P118" s="15"/>
      <c r="Q118" s="15"/>
      <c r="R118" s="16"/>
      <c r="S118" s="38"/>
      <c r="T118" s="38"/>
      <c r="U118" s="38"/>
      <c r="V118" s="38"/>
      <c r="W118" s="38"/>
      <c r="X118" s="38"/>
      <c r="Y118" s="38"/>
      <c r="Z118" s="38"/>
      <c r="AA118" s="38"/>
      <c r="AB118" s="38"/>
      <c r="AC118" s="38"/>
    </row>
    <row r="119" spans="1:29" ht="12.75">
      <c r="A119" s="38"/>
      <c r="B119" s="38"/>
      <c r="C119" s="40"/>
      <c r="D119" s="41"/>
      <c r="E119" s="40"/>
      <c r="F119" s="41"/>
      <c r="G119" s="40"/>
      <c r="H119" s="41"/>
      <c r="I119" s="39"/>
      <c r="J119" s="39"/>
      <c r="K119" s="40"/>
      <c r="L119" s="41"/>
      <c r="M119" s="38"/>
      <c r="N119" s="15"/>
      <c r="O119" s="15"/>
      <c r="P119" s="15"/>
      <c r="Q119" s="15"/>
      <c r="R119" s="16"/>
      <c r="S119" s="38"/>
      <c r="T119" s="38"/>
      <c r="U119" s="38"/>
      <c r="V119" s="38"/>
      <c r="W119" s="38"/>
      <c r="X119" s="38"/>
      <c r="Y119" s="38"/>
      <c r="Z119" s="38"/>
      <c r="AA119" s="38"/>
      <c r="AB119" s="38"/>
      <c r="AC119" s="38"/>
    </row>
    <row r="120" spans="1:29" ht="12.75">
      <c r="A120" s="38"/>
      <c r="B120" s="38"/>
      <c r="C120" s="40"/>
      <c r="D120" s="41"/>
      <c r="E120" s="40"/>
      <c r="F120" s="41"/>
      <c r="G120" s="40"/>
      <c r="H120" s="41"/>
      <c r="I120" s="39"/>
      <c r="J120" s="39"/>
      <c r="K120" s="40"/>
      <c r="L120" s="41"/>
      <c r="M120" s="38"/>
      <c r="N120" s="15"/>
      <c r="O120" s="15"/>
      <c r="P120" s="15"/>
      <c r="Q120" s="15"/>
      <c r="R120" s="16"/>
      <c r="S120" s="38"/>
      <c r="T120" s="38"/>
      <c r="U120" s="38"/>
      <c r="V120" s="38"/>
      <c r="W120" s="38"/>
      <c r="X120" s="38"/>
      <c r="Y120" s="38"/>
      <c r="Z120" s="38"/>
      <c r="AA120" s="38"/>
      <c r="AB120" s="38"/>
      <c r="AC120" s="38"/>
    </row>
    <row r="121" spans="1:29" ht="12.75">
      <c r="A121" s="38"/>
      <c r="B121" s="38"/>
      <c r="C121" s="40"/>
      <c r="D121" s="41"/>
      <c r="E121" s="40"/>
      <c r="F121" s="41"/>
      <c r="G121" s="40"/>
      <c r="H121" s="41"/>
      <c r="I121" s="39"/>
      <c r="J121" s="39"/>
      <c r="K121" s="40"/>
      <c r="L121" s="41"/>
      <c r="M121" s="38"/>
      <c r="N121" s="15"/>
      <c r="O121" s="15"/>
      <c r="P121" s="15"/>
      <c r="Q121" s="15"/>
      <c r="R121" s="16"/>
      <c r="S121" s="38"/>
      <c r="T121" s="38"/>
      <c r="U121" s="38"/>
      <c r="V121" s="38"/>
      <c r="W121" s="38"/>
      <c r="X121" s="38"/>
      <c r="Y121" s="38"/>
      <c r="Z121" s="38"/>
      <c r="AA121" s="38"/>
      <c r="AB121" s="38"/>
      <c r="AC121" s="38"/>
    </row>
    <row r="122" spans="1:29" ht="12.75">
      <c r="A122" s="38"/>
      <c r="B122" s="38"/>
      <c r="C122" s="40"/>
      <c r="D122" s="41"/>
      <c r="E122" s="40"/>
      <c r="F122" s="41"/>
      <c r="G122" s="40"/>
      <c r="H122" s="41"/>
      <c r="I122" s="39"/>
      <c r="J122" s="39"/>
      <c r="K122" s="40"/>
      <c r="L122" s="41"/>
      <c r="M122" s="38"/>
      <c r="N122" s="15"/>
      <c r="O122" s="15"/>
      <c r="P122" s="15"/>
      <c r="Q122" s="15"/>
      <c r="R122" s="16"/>
      <c r="S122" s="38"/>
      <c r="T122" s="38"/>
      <c r="U122" s="38"/>
      <c r="V122" s="38"/>
      <c r="W122" s="38"/>
      <c r="X122" s="38"/>
      <c r="Y122" s="38"/>
      <c r="Z122" s="38"/>
      <c r="AA122" s="38"/>
      <c r="AB122" s="38"/>
      <c r="AC122" s="38"/>
    </row>
    <row r="123" spans="1:29" ht="12.75">
      <c r="A123" s="38"/>
      <c r="B123" s="38"/>
      <c r="C123" s="40"/>
      <c r="D123" s="41"/>
      <c r="E123" s="40"/>
      <c r="F123" s="41"/>
      <c r="G123" s="40"/>
      <c r="H123" s="41"/>
      <c r="I123" s="39"/>
      <c r="J123" s="39"/>
      <c r="K123" s="40"/>
      <c r="L123" s="41"/>
      <c r="M123" s="38"/>
      <c r="N123" s="15"/>
      <c r="O123" s="15"/>
      <c r="P123" s="15"/>
      <c r="Q123" s="15"/>
      <c r="R123" s="16"/>
      <c r="S123" s="38"/>
      <c r="T123" s="38"/>
      <c r="U123" s="38"/>
      <c r="V123" s="38"/>
      <c r="W123" s="38"/>
      <c r="X123" s="38"/>
      <c r="Y123" s="38"/>
      <c r="Z123" s="38"/>
      <c r="AA123" s="38"/>
      <c r="AB123" s="38"/>
      <c r="AC123" s="38"/>
    </row>
    <row r="124" spans="1:29" ht="12.75">
      <c r="A124" s="38"/>
      <c r="B124" s="38"/>
      <c r="C124" s="40"/>
      <c r="D124" s="41"/>
      <c r="E124" s="40"/>
      <c r="F124" s="41"/>
      <c r="G124" s="40"/>
      <c r="H124" s="41"/>
      <c r="I124" s="39"/>
      <c r="J124" s="39"/>
      <c r="K124" s="40"/>
      <c r="L124" s="41"/>
      <c r="M124" s="38"/>
      <c r="N124" s="15"/>
      <c r="O124" s="15"/>
      <c r="P124" s="15"/>
      <c r="Q124" s="15"/>
      <c r="R124" s="16"/>
      <c r="S124" s="38"/>
      <c r="T124" s="38"/>
      <c r="U124" s="38"/>
      <c r="V124" s="38"/>
      <c r="W124" s="38"/>
      <c r="X124" s="38"/>
      <c r="Y124" s="38"/>
      <c r="Z124" s="38"/>
      <c r="AA124" s="38"/>
      <c r="AB124" s="38"/>
      <c r="AC124" s="38"/>
    </row>
    <row r="125" spans="1:29" ht="12.75">
      <c r="A125" s="38"/>
      <c r="B125" s="38"/>
      <c r="C125" s="40"/>
      <c r="D125" s="41"/>
      <c r="E125" s="40"/>
      <c r="F125" s="41"/>
      <c r="G125" s="40"/>
      <c r="H125" s="41"/>
      <c r="I125" s="39"/>
      <c r="J125" s="39"/>
      <c r="K125" s="40"/>
      <c r="L125" s="41"/>
      <c r="M125" s="38"/>
      <c r="N125" s="15"/>
      <c r="O125" s="15"/>
      <c r="P125" s="15"/>
      <c r="Q125" s="15"/>
      <c r="R125" s="16"/>
      <c r="S125" s="38"/>
      <c r="T125" s="38"/>
      <c r="U125" s="38"/>
      <c r="V125" s="38"/>
      <c r="W125" s="38"/>
      <c r="X125" s="38"/>
      <c r="Y125" s="38"/>
      <c r="Z125" s="38"/>
      <c r="AA125" s="38"/>
      <c r="AB125" s="38"/>
      <c r="AC125" s="38"/>
    </row>
    <row r="126" spans="1:29" ht="12.75">
      <c r="A126" s="38"/>
      <c r="B126" s="38"/>
      <c r="C126" s="40"/>
      <c r="D126" s="41"/>
      <c r="E126" s="40"/>
      <c r="F126" s="41"/>
      <c r="G126" s="40"/>
      <c r="H126" s="41"/>
      <c r="I126" s="39"/>
      <c r="J126" s="39"/>
      <c r="K126" s="40"/>
      <c r="L126" s="41"/>
      <c r="M126" s="38"/>
      <c r="N126" s="15"/>
      <c r="O126" s="15"/>
      <c r="P126" s="15"/>
      <c r="Q126" s="15"/>
      <c r="R126" s="16"/>
      <c r="S126" s="38"/>
      <c r="T126" s="38"/>
      <c r="U126" s="38"/>
      <c r="V126" s="38"/>
      <c r="W126" s="38"/>
      <c r="X126" s="38"/>
      <c r="Y126" s="38"/>
      <c r="Z126" s="38"/>
      <c r="AA126" s="38"/>
      <c r="AB126" s="38"/>
      <c r="AC126" s="38"/>
    </row>
    <row r="127" spans="1:29" ht="12.75">
      <c r="A127" s="38"/>
      <c r="B127" s="38"/>
      <c r="C127" s="40"/>
      <c r="D127" s="41"/>
      <c r="E127" s="40"/>
      <c r="F127" s="41"/>
      <c r="G127" s="40"/>
      <c r="H127" s="41"/>
      <c r="I127" s="39"/>
      <c r="J127" s="39"/>
      <c r="K127" s="40"/>
      <c r="L127" s="41"/>
      <c r="M127" s="38"/>
      <c r="N127" s="15"/>
      <c r="O127" s="15"/>
      <c r="P127" s="15"/>
      <c r="Q127" s="15"/>
      <c r="R127" s="16"/>
      <c r="S127" s="38"/>
      <c r="T127" s="38"/>
      <c r="U127" s="38"/>
      <c r="V127" s="38"/>
      <c r="W127" s="38"/>
      <c r="X127" s="38"/>
      <c r="Y127" s="38"/>
      <c r="Z127" s="38"/>
      <c r="AA127" s="38"/>
      <c r="AB127" s="38"/>
      <c r="AC127" s="38"/>
    </row>
    <row r="128" spans="1:29" ht="12.75">
      <c r="A128" s="38"/>
      <c r="B128" s="38"/>
      <c r="C128" s="40"/>
      <c r="D128" s="41"/>
      <c r="E128" s="40"/>
      <c r="F128" s="41"/>
      <c r="G128" s="40"/>
      <c r="H128" s="41"/>
      <c r="I128" s="39"/>
      <c r="J128" s="39"/>
      <c r="K128" s="40"/>
      <c r="L128" s="41"/>
      <c r="M128" s="38"/>
      <c r="N128" s="15"/>
      <c r="O128" s="15"/>
      <c r="P128" s="15"/>
      <c r="Q128" s="15"/>
      <c r="R128" s="16"/>
      <c r="S128" s="38"/>
      <c r="T128" s="38"/>
      <c r="U128" s="38"/>
      <c r="V128" s="38"/>
      <c r="W128" s="38"/>
      <c r="X128" s="38"/>
      <c r="Y128" s="38"/>
      <c r="Z128" s="38"/>
      <c r="AA128" s="38"/>
      <c r="AB128" s="38"/>
      <c r="AC128" s="38"/>
    </row>
    <row r="129" spans="1:29" ht="12.75">
      <c r="A129" s="38"/>
      <c r="B129" s="38"/>
      <c r="C129" s="40"/>
      <c r="D129" s="41"/>
      <c r="E129" s="40"/>
      <c r="F129" s="41"/>
      <c r="G129" s="40"/>
      <c r="H129" s="41"/>
      <c r="I129" s="39"/>
      <c r="J129" s="39"/>
      <c r="K129" s="40"/>
      <c r="L129" s="41"/>
      <c r="M129" s="38"/>
      <c r="N129" s="15"/>
      <c r="O129" s="15"/>
      <c r="P129" s="15"/>
      <c r="Q129" s="15"/>
      <c r="R129" s="16"/>
      <c r="S129" s="38"/>
      <c r="T129" s="38"/>
      <c r="U129" s="38"/>
      <c r="V129" s="38"/>
      <c r="W129" s="38"/>
      <c r="X129" s="38"/>
      <c r="Y129" s="38"/>
      <c r="Z129" s="38"/>
      <c r="AA129" s="38"/>
      <c r="AB129" s="38"/>
      <c r="AC129" s="38"/>
    </row>
    <row r="130" spans="1:29" ht="12.75">
      <c r="A130" s="38"/>
      <c r="B130" s="38"/>
      <c r="C130" s="40"/>
      <c r="D130" s="41"/>
      <c r="E130" s="40"/>
      <c r="F130" s="41"/>
      <c r="G130" s="40"/>
      <c r="H130" s="41"/>
      <c r="I130" s="39"/>
      <c r="J130" s="39"/>
      <c r="K130" s="40"/>
      <c r="L130" s="41"/>
      <c r="M130" s="38"/>
      <c r="N130" s="15"/>
      <c r="O130" s="15"/>
      <c r="P130" s="15"/>
      <c r="Q130" s="15"/>
      <c r="R130" s="16"/>
      <c r="S130" s="38"/>
      <c r="T130" s="38"/>
      <c r="U130" s="38"/>
      <c r="V130" s="38"/>
      <c r="W130" s="38"/>
      <c r="X130" s="38"/>
      <c r="Y130" s="38"/>
      <c r="Z130" s="38"/>
      <c r="AA130" s="38"/>
      <c r="AB130" s="38"/>
      <c r="AC130" s="38"/>
    </row>
    <row r="131" spans="1:29" ht="12.75">
      <c r="A131" s="38"/>
      <c r="B131" s="38"/>
      <c r="C131" s="40"/>
      <c r="D131" s="41"/>
      <c r="E131" s="40"/>
      <c r="F131" s="41"/>
      <c r="G131" s="40"/>
      <c r="H131" s="41"/>
      <c r="I131" s="39"/>
      <c r="J131" s="39"/>
      <c r="K131" s="40"/>
      <c r="L131" s="41"/>
      <c r="M131" s="38"/>
      <c r="N131" s="15"/>
      <c r="O131" s="15"/>
      <c r="P131" s="15"/>
      <c r="Q131" s="15"/>
      <c r="R131" s="16"/>
      <c r="S131" s="38"/>
      <c r="T131" s="38"/>
      <c r="U131" s="38"/>
      <c r="V131" s="38"/>
      <c r="W131" s="38"/>
      <c r="X131" s="38"/>
      <c r="Y131" s="38"/>
      <c r="Z131" s="38"/>
      <c r="AA131" s="38"/>
      <c r="AB131" s="38"/>
      <c r="AC131" s="38"/>
    </row>
    <row r="132" spans="1:29" ht="12.75">
      <c r="A132" s="38"/>
      <c r="B132" s="38"/>
      <c r="C132" s="40"/>
      <c r="D132" s="41"/>
      <c r="E132" s="40"/>
      <c r="F132" s="41"/>
      <c r="G132" s="40"/>
      <c r="H132" s="41"/>
      <c r="I132" s="39"/>
      <c r="J132" s="39"/>
      <c r="K132" s="40"/>
      <c r="L132" s="41"/>
      <c r="M132" s="38"/>
      <c r="N132" s="15"/>
      <c r="O132" s="15"/>
      <c r="P132" s="15"/>
      <c r="Q132" s="15"/>
      <c r="R132" s="16"/>
      <c r="S132" s="38"/>
      <c r="T132" s="38"/>
      <c r="U132" s="38"/>
      <c r="V132" s="38"/>
      <c r="W132" s="38"/>
      <c r="X132" s="38"/>
      <c r="Y132" s="38"/>
      <c r="Z132" s="38"/>
      <c r="AA132" s="38"/>
      <c r="AB132" s="38"/>
      <c r="AC132" s="38"/>
    </row>
    <row r="133" spans="1:29" ht="12.75">
      <c r="A133" s="38"/>
      <c r="B133" s="38"/>
      <c r="C133" s="40"/>
      <c r="D133" s="41"/>
      <c r="E133" s="40"/>
      <c r="F133" s="41"/>
      <c r="G133" s="40"/>
      <c r="H133" s="41"/>
      <c r="I133" s="39"/>
      <c r="J133" s="39"/>
      <c r="K133" s="40"/>
      <c r="L133" s="41"/>
      <c r="M133" s="38"/>
      <c r="N133" s="15"/>
      <c r="O133" s="15"/>
      <c r="P133" s="15"/>
      <c r="Q133" s="15"/>
      <c r="R133" s="16"/>
      <c r="S133" s="38"/>
      <c r="T133" s="38"/>
      <c r="U133" s="38"/>
      <c r="V133" s="38"/>
      <c r="W133" s="38"/>
      <c r="X133" s="38"/>
      <c r="Y133" s="38"/>
      <c r="Z133" s="38"/>
      <c r="AA133" s="38"/>
      <c r="AB133" s="38"/>
      <c r="AC133" s="38"/>
    </row>
    <row r="134" spans="1:29" ht="12.75">
      <c r="A134" s="38"/>
      <c r="B134" s="38"/>
      <c r="C134" s="40"/>
      <c r="D134" s="41"/>
      <c r="E134" s="40"/>
      <c r="F134" s="41"/>
      <c r="G134" s="40"/>
      <c r="H134" s="41"/>
      <c r="I134" s="39"/>
      <c r="J134" s="39"/>
      <c r="K134" s="40"/>
      <c r="L134" s="41"/>
      <c r="M134" s="38"/>
      <c r="N134" s="15"/>
      <c r="O134" s="15"/>
      <c r="P134" s="15"/>
      <c r="Q134" s="15"/>
      <c r="R134" s="16"/>
      <c r="S134" s="38"/>
      <c r="T134" s="38"/>
      <c r="U134" s="38"/>
      <c r="V134" s="38"/>
      <c r="W134" s="38"/>
      <c r="X134" s="38"/>
      <c r="Y134" s="38"/>
      <c r="Z134" s="38"/>
      <c r="AA134" s="38"/>
      <c r="AB134" s="38"/>
      <c r="AC134" s="38"/>
    </row>
    <row r="135" spans="1:29" ht="12.75">
      <c r="A135" s="38"/>
      <c r="B135" s="38"/>
      <c r="C135" s="40"/>
      <c r="D135" s="41"/>
      <c r="E135" s="40"/>
      <c r="F135" s="41"/>
      <c r="G135" s="40"/>
      <c r="H135" s="41"/>
      <c r="I135" s="39"/>
      <c r="J135" s="39"/>
      <c r="K135" s="40"/>
      <c r="L135" s="41"/>
      <c r="M135" s="38"/>
      <c r="N135" s="15"/>
      <c r="O135" s="15"/>
      <c r="P135" s="15"/>
      <c r="Q135" s="15"/>
      <c r="R135" s="16"/>
      <c r="S135" s="38"/>
      <c r="T135" s="38"/>
      <c r="U135" s="38"/>
      <c r="V135" s="38"/>
      <c r="W135" s="38"/>
      <c r="X135" s="38"/>
      <c r="Y135" s="38"/>
      <c r="Z135" s="38"/>
      <c r="AA135" s="38"/>
      <c r="AB135" s="38"/>
      <c r="AC135" s="38"/>
    </row>
    <row r="136" spans="1:29" ht="12.75">
      <c r="A136" s="38"/>
      <c r="B136" s="38"/>
      <c r="C136" s="40"/>
      <c r="D136" s="41"/>
      <c r="E136" s="40"/>
      <c r="F136" s="41"/>
      <c r="G136" s="40"/>
      <c r="H136" s="41"/>
      <c r="I136" s="39"/>
      <c r="J136" s="39"/>
      <c r="K136" s="40"/>
      <c r="L136" s="41"/>
      <c r="M136" s="38"/>
      <c r="N136" s="15"/>
      <c r="O136" s="15"/>
      <c r="P136" s="15"/>
      <c r="Q136" s="15"/>
      <c r="R136" s="16"/>
      <c r="S136" s="38"/>
      <c r="T136" s="38"/>
      <c r="U136" s="38"/>
      <c r="V136" s="38"/>
      <c r="W136" s="38"/>
      <c r="X136" s="38"/>
      <c r="Y136" s="38"/>
      <c r="Z136" s="38"/>
      <c r="AA136" s="38"/>
      <c r="AB136" s="38"/>
      <c r="AC136" s="38"/>
    </row>
    <row r="137" spans="1:29" ht="12.75">
      <c r="A137" s="38"/>
      <c r="B137" s="38"/>
      <c r="C137" s="40"/>
      <c r="D137" s="41"/>
      <c r="E137" s="40"/>
      <c r="F137" s="41"/>
      <c r="G137" s="40"/>
      <c r="H137" s="41"/>
      <c r="I137" s="39"/>
      <c r="J137" s="39"/>
      <c r="K137" s="40"/>
      <c r="L137" s="41"/>
      <c r="M137" s="38"/>
      <c r="N137" s="15"/>
      <c r="O137" s="15"/>
      <c r="P137" s="15"/>
      <c r="Q137" s="15"/>
      <c r="R137" s="16"/>
      <c r="S137" s="38"/>
      <c r="T137" s="38"/>
      <c r="U137" s="38"/>
      <c r="V137" s="38"/>
      <c r="W137" s="38"/>
      <c r="X137" s="38"/>
      <c r="Y137" s="38"/>
      <c r="Z137" s="38"/>
      <c r="AA137" s="38"/>
      <c r="AB137" s="38"/>
      <c r="AC137" s="38"/>
    </row>
    <row r="138" spans="1:29" ht="12.75">
      <c r="A138" s="38"/>
      <c r="B138" s="38"/>
      <c r="C138" s="40"/>
      <c r="D138" s="41"/>
      <c r="E138" s="40"/>
      <c r="F138" s="41"/>
      <c r="G138" s="40"/>
      <c r="H138" s="41"/>
      <c r="I138" s="39"/>
      <c r="J138" s="39"/>
      <c r="K138" s="40"/>
      <c r="L138" s="41"/>
      <c r="M138" s="38"/>
      <c r="N138" s="15"/>
      <c r="O138" s="15"/>
      <c r="P138" s="15"/>
      <c r="Q138" s="15"/>
      <c r="R138" s="16"/>
      <c r="S138" s="38"/>
      <c r="T138" s="38"/>
      <c r="U138" s="38"/>
      <c r="V138" s="38"/>
      <c r="W138" s="38"/>
      <c r="X138" s="38"/>
      <c r="Y138" s="38"/>
      <c r="Z138" s="38"/>
      <c r="AA138" s="38"/>
      <c r="AB138" s="38"/>
      <c r="AC138" s="38"/>
    </row>
    <row r="139" spans="1:29" ht="12.75">
      <c r="A139" s="38"/>
      <c r="B139" s="38"/>
      <c r="C139" s="40"/>
      <c r="D139" s="41"/>
      <c r="E139" s="40"/>
      <c r="F139" s="41"/>
      <c r="G139" s="40"/>
      <c r="H139" s="41"/>
      <c r="I139" s="39"/>
      <c r="J139" s="39"/>
      <c r="K139" s="40"/>
      <c r="L139" s="41"/>
      <c r="M139" s="38"/>
      <c r="N139" s="15"/>
      <c r="O139" s="15"/>
      <c r="P139" s="15"/>
      <c r="Q139" s="15"/>
      <c r="R139" s="16"/>
      <c r="S139" s="38"/>
      <c r="T139" s="38"/>
      <c r="U139" s="38"/>
      <c r="V139" s="38"/>
      <c r="W139" s="38"/>
      <c r="X139" s="38"/>
      <c r="Y139" s="38"/>
      <c r="Z139" s="38"/>
      <c r="AA139" s="38"/>
      <c r="AB139" s="38"/>
      <c r="AC139" s="38"/>
    </row>
    <row r="140" spans="1:29" ht="12.75">
      <c r="A140" s="38"/>
      <c r="B140" s="38"/>
      <c r="C140" s="40"/>
      <c r="D140" s="41"/>
      <c r="E140" s="40"/>
      <c r="F140" s="41"/>
      <c r="G140" s="40"/>
      <c r="H140" s="41"/>
      <c r="I140" s="39"/>
      <c r="J140" s="39"/>
      <c r="K140" s="40"/>
      <c r="L140" s="41"/>
      <c r="M140" s="38"/>
      <c r="N140" s="15"/>
      <c r="O140" s="15"/>
      <c r="P140" s="15"/>
      <c r="Q140" s="15"/>
      <c r="R140" s="16"/>
      <c r="S140" s="38"/>
      <c r="T140" s="38"/>
      <c r="U140" s="38"/>
      <c r="V140" s="38"/>
      <c r="W140" s="38"/>
      <c r="X140" s="38"/>
      <c r="Y140" s="38"/>
      <c r="Z140" s="38"/>
      <c r="AA140" s="38"/>
      <c r="AB140" s="38"/>
      <c r="AC140" s="38"/>
    </row>
    <row r="141" spans="1:29" ht="12.75">
      <c r="A141" s="38"/>
      <c r="B141" s="38"/>
      <c r="C141" s="40"/>
      <c r="D141" s="41"/>
      <c r="E141" s="40"/>
      <c r="F141" s="41"/>
      <c r="G141" s="40"/>
      <c r="H141" s="41"/>
      <c r="I141" s="39"/>
      <c r="J141" s="39"/>
      <c r="K141" s="40"/>
      <c r="L141" s="41"/>
      <c r="M141" s="38"/>
      <c r="N141" s="15"/>
      <c r="O141" s="15"/>
      <c r="P141" s="15"/>
      <c r="Q141" s="15"/>
      <c r="R141" s="16"/>
      <c r="S141" s="38"/>
      <c r="T141" s="38"/>
      <c r="U141" s="38"/>
      <c r="V141" s="38"/>
      <c r="W141" s="38"/>
      <c r="X141" s="38"/>
      <c r="Y141" s="38"/>
      <c r="Z141" s="38"/>
      <c r="AA141" s="38"/>
      <c r="AB141" s="38"/>
      <c r="AC141" s="38"/>
    </row>
    <row r="142" spans="1:29" ht="12.75">
      <c r="A142" s="38"/>
      <c r="B142" s="38"/>
      <c r="C142" s="40"/>
      <c r="D142" s="41"/>
      <c r="E142" s="40"/>
      <c r="F142" s="41"/>
      <c r="G142" s="40"/>
      <c r="H142" s="41"/>
      <c r="I142" s="39"/>
      <c r="J142" s="39"/>
      <c r="K142" s="40"/>
      <c r="L142" s="41"/>
      <c r="M142" s="38"/>
      <c r="N142" s="15"/>
      <c r="O142" s="15"/>
      <c r="P142" s="15"/>
      <c r="Q142" s="15"/>
      <c r="R142" s="16"/>
      <c r="S142" s="38"/>
      <c r="T142" s="38"/>
      <c r="U142" s="38"/>
      <c r="V142" s="38"/>
      <c r="W142" s="38"/>
      <c r="X142" s="38"/>
      <c r="Y142" s="38"/>
      <c r="Z142" s="38"/>
      <c r="AA142" s="38"/>
      <c r="AB142" s="38"/>
      <c r="AC142" s="38"/>
    </row>
    <row r="143" spans="1:29" ht="12.75">
      <c r="A143" s="38"/>
      <c r="B143" s="38"/>
      <c r="C143" s="40"/>
      <c r="D143" s="41"/>
      <c r="E143" s="40"/>
      <c r="F143" s="41"/>
      <c r="G143" s="40"/>
      <c r="H143" s="41"/>
      <c r="I143" s="39"/>
      <c r="J143" s="39"/>
      <c r="K143" s="40"/>
      <c r="L143" s="41"/>
      <c r="M143" s="38"/>
      <c r="N143" s="15"/>
      <c r="O143" s="15"/>
      <c r="P143" s="15"/>
      <c r="Q143" s="15"/>
      <c r="R143" s="16"/>
      <c r="S143" s="38"/>
      <c r="T143" s="38"/>
      <c r="U143" s="38"/>
      <c r="V143" s="38"/>
      <c r="W143" s="38"/>
      <c r="X143" s="38"/>
      <c r="Y143" s="38"/>
      <c r="Z143" s="38"/>
      <c r="AA143" s="38"/>
      <c r="AB143" s="38"/>
      <c r="AC143" s="38"/>
    </row>
    <row r="144" spans="1:29" ht="12.75">
      <c r="A144" s="38"/>
      <c r="B144" s="38"/>
      <c r="C144" s="40"/>
      <c r="D144" s="41"/>
      <c r="E144" s="40"/>
      <c r="F144" s="41"/>
      <c r="G144" s="40"/>
      <c r="H144" s="41"/>
      <c r="I144" s="39"/>
      <c r="J144" s="39"/>
      <c r="K144" s="40"/>
      <c r="L144" s="41"/>
      <c r="M144" s="38"/>
      <c r="N144" s="15"/>
      <c r="O144" s="15"/>
      <c r="P144" s="15"/>
      <c r="Q144" s="15"/>
      <c r="R144" s="16"/>
      <c r="S144" s="38"/>
      <c r="T144" s="38"/>
      <c r="U144" s="38"/>
      <c r="V144" s="38"/>
      <c r="W144" s="38"/>
      <c r="X144" s="38"/>
      <c r="Y144" s="38"/>
      <c r="Z144" s="38"/>
      <c r="AA144" s="38"/>
      <c r="AB144" s="38"/>
      <c r="AC144" s="38"/>
    </row>
    <row r="145" spans="1:29" ht="12.75">
      <c r="A145" s="38"/>
      <c r="B145" s="38"/>
      <c r="C145" s="40"/>
      <c r="D145" s="41"/>
      <c r="E145" s="40"/>
      <c r="F145" s="41"/>
      <c r="G145" s="40"/>
      <c r="H145" s="41"/>
      <c r="I145" s="39"/>
      <c r="J145" s="39"/>
      <c r="K145" s="40"/>
      <c r="L145" s="41"/>
      <c r="M145" s="38"/>
      <c r="N145" s="15"/>
      <c r="O145" s="15"/>
      <c r="P145" s="15"/>
      <c r="Q145" s="15"/>
      <c r="R145" s="16"/>
      <c r="S145" s="38"/>
      <c r="T145" s="38"/>
      <c r="U145" s="38"/>
      <c r="V145" s="38"/>
      <c r="W145" s="38"/>
      <c r="X145" s="38"/>
      <c r="Y145" s="38"/>
      <c r="Z145" s="38"/>
      <c r="AA145" s="38"/>
      <c r="AB145" s="38"/>
      <c r="AC145" s="38"/>
    </row>
    <row r="146" spans="1:29" ht="12.75">
      <c r="A146" s="38"/>
      <c r="B146" s="38"/>
      <c r="C146" s="40"/>
      <c r="D146" s="41"/>
      <c r="E146" s="40"/>
      <c r="F146" s="41"/>
      <c r="G146" s="40"/>
      <c r="H146" s="41"/>
      <c r="I146" s="39"/>
      <c r="J146" s="39"/>
      <c r="K146" s="40"/>
      <c r="L146" s="41"/>
      <c r="M146" s="38"/>
      <c r="N146" s="15"/>
      <c r="O146" s="15"/>
      <c r="P146" s="15"/>
      <c r="Q146" s="15"/>
      <c r="R146" s="16"/>
      <c r="S146" s="38"/>
      <c r="T146" s="38"/>
      <c r="U146" s="38"/>
      <c r="V146" s="38"/>
      <c r="W146" s="38"/>
      <c r="X146" s="38"/>
      <c r="Y146" s="38"/>
      <c r="Z146" s="38"/>
      <c r="AA146" s="38"/>
      <c r="AB146" s="38"/>
      <c r="AC146" s="38"/>
    </row>
    <row r="147" spans="1:29" ht="12.75">
      <c r="A147" s="38"/>
      <c r="B147" s="38"/>
      <c r="C147" s="40"/>
      <c r="D147" s="41"/>
      <c r="E147" s="40"/>
      <c r="F147" s="41"/>
      <c r="G147" s="40"/>
      <c r="H147" s="41"/>
      <c r="I147" s="39"/>
      <c r="J147" s="39"/>
      <c r="K147" s="40"/>
      <c r="L147" s="41"/>
      <c r="M147" s="38"/>
      <c r="N147" s="15"/>
      <c r="O147" s="15"/>
      <c r="P147" s="15"/>
      <c r="Q147" s="15"/>
      <c r="R147" s="16"/>
      <c r="S147" s="38"/>
      <c r="T147" s="38"/>
      <c r="U147" s="38"/>
      <c r="V147" s="38"/>
      <c r="W147" s="38"/>
      <c r="X147" s="38"/>
      <c r="Y147" s="38"/>
      <c r="Z147" s="38"/>
      <c r="AA147" s="38"/>
      <c r="AB147" s="38"/>
      <c r="AC147" s="38"/>
    </row>
    <row r="148" spans="1:29" ht="12.75">
      <c r="A148" s="38"/>
      <c r="B148" s="38"/>
      <c r="C148" s="40"/>
      <c r="D148" s="41"/>
      <c r="E148" s="40"/>
      <c r="F148" s="41"/>
      <c r="G148" s="40"/>
      <c r="H148" s="41"/>
      <c r="I148" s="39"/>
      <c r="J148" s="39"/>
      <c r="K148" s="40"/>
      <c r="L148" s="41"/>
      <c r="M148" s="38"/>
      <c r="N148" s="15"/>
      <c r="O148" s="15"/>
      <c r="P148" s="15"/>
      <c r="Q148" s="15"/>
      <c r="R148" s="16"/>
      <c r="S148" s="38"/>
      <c r="T148" s="38"/>
      <c r="U148" s="38"/>
      <c r="V148" s="38"/>
      <c r="W148" s="38"/>
      <c r="X148" s="38"/>
      <c r="Y148" s="38"/>
      <c r="Z148" s="38"/>
      <c r="AA148" s="38"/>
      <c r="AB148" s="38"/>
      <c r="AC148" s="38"/>
    </row>
    <row r="149" spans="1:29" ht="12.75">
      <c r="A149" s="38"/>
      <c r="B149" s="38"/>
      <c r="C149" s="40"/>
      <c r="D149" s="41"/>
      <c r="E149" s="40"/>
      <c r="F149" s="41"/>
      <c r="G149" s="40"/>
      <c r="H149" s="41"/>
      <c r="I149" s="39"/>
      <c r="J149" s="39"/>
      <c r="K149" s="40"/>
      <c r="L149" s="41"/>
      <c r="M149" s="38"/>
      <c r="N149" s="15"/>
      <c r="O149" s="15"/>
      <c r="P149" s="15"/>
      <c r="Q149" s="15"/>
      <c r="R149" s="16"/>
      <c r="S149" s="38"/>
      <c r="T149" s="38"/>
      <c r="U149" s="38"/>
      <c r="V149" s="38"/>
      <c r="W149" s="38"/>
      <c r="X149" s="38"/>
      <c r="Y149" s="38"/>
      <c r="Z149" s="38"/>
      <c r="AA149" s="38"/>
      <c r="AB149" s="38"/>
      <c r="AC149" s="38"/>
    </row>
    <row r="150" spans="1:29" ht="12.75">
      <c r="A150" s="38"/>
      <c r="B150" s="38"/>
      <c r="C150" s="40"/>
      <c r="D150" s="41"/>
      <c r="E150" s="40"/>
      <c r="F150" s="41"/>
      <c r="G150" s="40"/>
      <c r="H150" s="41"/>
      <c r="I150" s="39"/>
      <c r="J150" s="39"/>
      <c r="K150" s="40"/>
      <c r="L150" s="41"/>
      <c r="M150" s="38"/>
      <c r="N150" s="15"/>
      <c r="O150" s="15"/>
      <c r="P150" s="15"/>
      <c r="Q150" s="15"/>
      <c r="R150" s="16"/>
      <c r="S150" s="38"/>
      <c r="T150" s="38"/>
      <c r="U150" s="38"/>
      <c r="V150" s="38"/>
      <c r="W150" s="38"/>
      <c r="X150" s="38"/>
      <c r="Y150" s="38"/>
      <c r="Z150" s="38"/>
      <c r="AA150" s="38"/>
      <c r="AB150" s="38"/>
      <c r="AC150" s="38"/>
    </row>
    <row r="151" spans="1:29" ht="12.75">
      <c r="A151" s="38"/>
      <c r="B151" s="38"/>
      <c r="C151" s="40"/>
      <c r="D151" s="41"/>
      <c r="E151" s="40"/>
      <c r="F151" s="41"/>
      <c r="G151" s="40"/>
      <c r="H151" s="41"/>
      <c r="I151" s="39"/>
      <c r="J151" s="39"/>
      <c r="K151" s="40"/>
      <c r="L151" s="41"/>
      <c r="M151" s="38"/>
      <c r="N151" s="15"/>
      <c r="O151" s="15"/>
      <c r="P151" s="15"/>
      <c r="Q151" s="15"/>
      <c r="R151" s="16"/>
      <c r="S151" s="38"/>
      <c r="T151" s="38"/>
      <c r="U151" s="38"/>
      <c r="V151" s="38"/>
      <c r="W151" s="38"/>
      <c r="X151" s="38"/>
      <c r="Y151" s="38"/>
      <c r="Z151" s="38"/>
      <c r="AA151" s="38"/>
      <c r="AB151" s="38"/>
      <c r="AC151" s="38"/>
    </row>
    <row r="152" spans="1:29" ht="12.75">
      <c r="A152" s="38"/>
      <c r="B152" s="38"/>
      <c r="C152" s="40"/>
      <c r="D152" s="41"/>
      <c r="E152" s="40"/>
      <c r="F152" s="41"/>
      <c r="G152" s="40"/>
      <c r="H152" s="41"/>
      <c r="I152" s="39"/>
      <c r="J152" s="39"/>
      <c r="K152" s="40"/>
      <c r="L152" s="41"/>
      <c r="M152" s="38"/>
      <c r="N152" s="15"/>
      <c r="O152" s="15"/>
      <c r="P152" s="15"/>
      <c r="Q152" s="15"/>
      <c r="R152" s="16"/>
      <c r="S152" s="38"/>
      <c r="T152" s="38"/>
      <c r="U152" s="38"/>
      <c r="V152" s="38"/>
      <c r="W152" s="38"/>
      <c r="X152" s="38"/>
      <c r="Y152" s="38"/>
      <c r="Z152" s="38"/>
      <c r="AA152" s="38"/>
      <c r="AB152" s="38"/>
      <c r="AC152" s="38"/>
    </row>
    <row r="153" spans="1:29" ht="12.75">
      <c r="A153" s="38"/>
      <c r="B153" s="38"/>
      <c r="C153" s="40"/>
      <c r="D153" s="41"/>
      <c r="E153" s="40"/>
      <c r="F153" s="41"/>
      <c r="G153" s="40"/>
      <c r="H153" s="41"/>
      <c r="I153" s="39"/>
      <c r="J153" s="39"/>
      <c r="K153" s="40"/>
      <c r="L153" s="41"/>
      <c r="M153" s="38"/>
      <c r="N153" s="15"/>
      <c r="O153" s="15"/>
      <c r="P153" s="15"/>
      <c r="Q153" s="15"/>
      <c r="R153" s="16"/>
      <c r="S153" s="38"/>
      <c r="T153" s="38"/>
      <c r="U153" s="38"/>
      <c r="V153" s="38"/>
      <c r="W153" s="38"/>
      <c r="X153" s="38"/>
      <c r="Y153" s="38"/>
      <c r="Z153" s="38"/>
      <c r="AA153" s="38"/>
      <c r="AB153" s="38"/>
      <c r="AC153" s="38"/>
    </row>
    <row r="154" spans="1:29" ht="12.75">
      <c r="A154" s="38"/>
      <c r="B154" s="38"/>
      <c r="C154" s="40"/>
      <c r="D154" s="41"/>
      <c r="E154" s="40"/>
      <c r="F154" s="41"/>
      <c r="G154" s="40"/>
      <c r="H154" s="41"/>
      <c r="I154" s="39"/>
      <c r="J154" s="39"/>
      <c r="K154" s="40"/>
      <c r="L154" s="41"/>
      <c r="M154" s="38"/>
      <c r="N154" s="15"/>
      <c r="O154" s="15"/>
      <c r="P154" s="15"/>
      <c r="Q154" s="15"/>
      <c r="R154" s="16"/>
      <c r="S154" s="38"/>
      <c r="T154" s="38"/>
      <c r="U154" s="38"/>
      <c r="V154" s="38"/>
      <c r="W154" s="38"/>
      <c r="X154" s="38"/>
      <c r="Y154" s="38"/>
      <c r="Z154" s="38"/>
      <c r="AA154" s="38"/>
      <c r="AB154" s="38"/>
      <c r="AC154" s="38"/>
    </row>
    <row r="155" spans="1:29" ht="12.75">
      <c r="A155" s="38"/>
      <c r="B155" s="38"/>
      <c r="C155" s="40"/>
      <c r="D155" s="41"/>
      <c r="E155" s="40"/>
      <c r="F155" s="41"/>
      <c r="G155" s="40"/>
      <c r="H155" s="41"/>
      <c r="I155" s="39"/>
      <c r="J155" s="39"/>
      <c r="K155" s="40"/>
      <c r="L155" s="41"/>
      <c r="M155" s="38"/>
      <c r="N155" s="15"/>
      <c r="O155" s="15"/>
      <c r="P155" s="15"/>
      <c r="Q155" s="15"/>
      <c r="R155" s="16"/>
      <c r="S155" s="38"/>
      <c r="T155" s="38"/>
      <c r="U155" s="38"/>
      <c r="V155" s="38"/>
      <c r="W155" s="38"/>
      <c r="X155" s="38"/>
      <c r="Y155" s="38"/>
      <c r="Z155" s="38"/>
      <c r="AA155" s="38"/>
      <c r="AB155" s="38"/>
      <c r="AC155" s="38"/>
    </row>
    <row r="156" spans="1:29" ht="12.75">
      <c r="A156" s="38"/>
      <c r="B156" s="38"/>
      <c r="C156" s="40"/>
      <c r="D156" s="41"/>
      <c r="E156" s="40"/>
      <c r="F156" s="41"/>
      <c r="G156" s="40"/>
      <c r="H156" s="41"/>
      <c r="I156" s="39"/>
      <c r="J156" s="39"/>
      <c r="K156" s="40"/>
      <c r="L156" s="41"/>
      <c r="M156" s="38"/>
      <c r="N156" s="15"/>
      <c r="O156" s="15"/>
      <c r="P156" s="15"/>
      <c r="Q156" s="15"/>
      <c r="R156" s="16"/>
      <c r="S156" s="38"/>
      <c r="T156" s="38"/>
      <c r="U156" s="38"/>
      <c r="V156" s="38"/>
      <c r="W156" s="38"/>
      <c r="X156" s="38"/>
      <c r="Y156" s="38"/>
      <c r="Z156" s="38"/>
      <c r="AA156" s="38"/>
      <c r="AB156" s="38"/>
      <c r="AC156" s="38"/>
    </row>
    <row r="157" spans="1:29" ht="12.75">
      <c r="A157" s="38"/>
      <c r="B157" s="38"/>
      <c r="C157" s="40"/>
      <c r="D157" s="41"/>
      <c r="E157" s="40"/>
      <c r="F157" s="41"/>
      <c r="G157" s="40"/>
      <c r="H157" s="41"/>
      <c r="I157" s="39"/>
      <c r="J157" s="39"/>
      <c r="K157" s="40"/>
      <c r="L157" s="41"/>
      <c r="M157" s="38"/>
      <c r="N157" s="15"/>
      <c r="O157" s="15"/>
      <c r="P157" s="15"/>
      <c r="Q157" s="15"/>
      <c r="R157" s="16"/>
      <c r="S157" s="38"/>
      <c r="T157" s="38"/>
      <c r="U157" s="38"/>
      <c r="V157" s="38"/>
      <c r="W157" s="38"/>
      <c r="X157" s="38"/>
      <c r="Y157" s="38"/>
      <c r="Z157" s="38"/>
      <c r="AA157" s="38"/>
      <c r="AB157" s="38"/>
      <c r="AC157" s="38"/>
    </row>
    <row r="158" spans="1:29" ht="12.75">
      <c r="A158" s="38"/>
      <c r="B158" s="38"/>
      <c r="C158" s="40"/>
      <c r="D158" s="41"/>
      <c r="E158" s="40"/>
      <c r="F158" s="41"/>
      <c r="G158" s="40"/>
      <c r="H158" s="41"/>
      <c r="I158" s="39"/>
      <c r="J158" s="39"/>
      <c r="K158" s="40"/>
      <c r="L158" s="41"/>
      <c r="M158" s="38"/>
      <c r="N158" s="15"/>
      <c r="O158" s="15"/>
      <c r="P158" s="15"/>
      <c r="Q158" s="15"/>
      <c r="R158" s="16"/>
      <c r="S158" s="38"/>
      <c r="T158" s="38"/>
      <c r="U158" s="38"/>
      <c r="V158" s="38"/>
      <c r="W158" s="38"/>
      <c r="X158" s="38"/>
      <c r="Y158" s="38"/>
      <c r="Z158" s="38"/>
      <c r="AA158" s="38"/>
      <c r="AB158" s="38"/>
      <c r="AC158" s="38"/>
    </row>
    <row r="159" spans="1:29" ht="13.5">
      <c r="A159" s="76"/>
      <c r="B159" s="76"/>
      <c r="C159" s="43"/>
      <c r="D159" s="41"/>
      <c r="E159" s="43"/>
      <c r="F159" s="41"/>
      <c r="G159" s="43"/>
      <c r="H159" s="41"/>
      <c r="I159" s="39"/>
      <c r="J159" s="39"/>
      <c r="K159" s="43"/>
      <c r="L159" s="41"/>
      <c r="M159" s="38"/>
      <c r="N159" s="15"/>
      <c r="O159" s="15"/>
      <c r="P159" s="15"/>
      <c r="Q159" s="15"/>
      <c r="R159" s="16"/>
      <c r="S159" s="38"/>
      <c r="T159" s="38"/>
      <c r="U159" s="38"/>
      <c r="V159" s="38"/>
      <c r="W159" s="38"/>
      <c r="X159" s="38"/>
      <c r="Y159" s="38"/>
      <c r="Z159" s="38"/>
      <c r="AA159" s="38"/>
      <c r="AB159" s="38"/>
      <c r="AC159" s="38"/>
    </row>
    <row r="160" spans="1:29" ht="12.75">
      <c r="A160" s="38"/>
      <c r="B160" s="38"/>
      <c r="C160" s="40"/>
      <c r="D160" s="41"/>
      <c r="E160" s="40"/>
      <c r="F160" s="41"/>
      <c r="G160" s="40"/>
      <c r="H160" s="41"/>
      <c r="I160" s="39"/>
      <c r="J160" s="39"/>
      <c r="K160" s="40"/>
      <c r="L160" s="41"/>
      <c r="M160" s="38"/>
      <c r="N160" s="15"/>
      <c r="O160" s="15"/>
      <c r="P160" s="15"/>
      <c r="Q160" s="15"/>
      <c r="R160" s="16"/>
      <c r="S160" s="38"/>
      <c r="T160" s="38"/>
      <c r="U160" s="38"/>
      <c r="V160" s="38"/>
      <c r="W160" s="38"/>
      <c r="X160" s="38"/>
      <c r="Y160" s="38"/>
      <c r="Z160" s="38"/>
      <c r="AA160" s="38"/>
      <c r="AB160" s="38"/>
      <c r="AC160" s="38"/>
    </row>
    <row r="161" spans="1:29" ht="12.75">
      <c r="A161" s="38"/>
      <c r="B161" s="38"/>
      <c r="C161" s="40"/>
      <c r="D161" s="41"/>
      <c r="E161" s="40"/>
      <c r="F161" s="41"/>
      <c r="G161" s="40"/>
      <c r="H161" s="41"/>
      <c r="I161" s="39"/>
      <c r="J161" s="39"/>
      <c r="K161" s="40"/>
      <c r="L161" s="41"/>
      <c r="M161" s="38"/>
      <c r="N161" s="15"/>
      <c r="O161" s="15"/>
      <c r="P161" s="15"/>
      <c r="Q161" s="15"/>
      <c r="R161" s="16"/>
      <c r="S161" s="38"/>
      <c r="T161" s="38"/>
      <c r="U161" s="38"/>
      <c r="V161" s="38"/>
      <c r="W161" s="38"/>
      <c r="X161" s="38"/>
      <c r="Y161" s="38"/>
      <c r="Z161" s="38"/>
      <c r="AA161" s="38"/>
      <c r="AB161" s="38"/>
      <c r="AC161" s="38"/>
    </row>
    <row r="162" spans="1:29" ht="12.75">
      <c r="A162" s="38"/>
      <c r="B162" s="38"/>
      <c r="C162" s="40"/>
      <c r="D162" s="41"/>
      <c r="E162" s="40"/>
      <c r="F162" s="41"/>
      <c r="G162" s="40"/>
      <c r="H162" s="41"/>
      <c r="I162" s="39"/>
      <c r="J162" s="39"/>
      <c r="K162" s="40"/>
      <c r="L162" s="41"/>
      <c r="M162" s="38"/>
      <c r="N162" s="15"/>
      <c r="O162" s="15"/>
      <c r="P162" s="15"/>
      <c r="Q162" s="15"/>
      <c r="R162" s="16"/>
      <c r="S162" s="38"/>
      <c r="T162" s="38"/>
      <c r="U162" s="38"/>
      <c r="V162" s="38"/>
      <c r="W162" s="38"/>
      <c r="X162" s="38"/>
      <c r="Y162" s="38"/>
      <c r="Z162" s="38"/>
      <c r="AA162" s="38"/>
      <c r="AB162" s="38"/>
      <c r="AC162" s="38"/>
    </row>
    <row r="163" spans="1:29" ht="12.75">
      <c r="A163" s="38"/>
      <c r="B163" s="38"/>
      <c r="C163" s="40"/>
      <c r="D163" s="41"/>
      <c r="E163" s="40"/>
      <c r="F163" s="41"/>
      <c r="G163" s="40"/>
      <c r="H163" s="41"/>
      <c r="I163" s="39"/>
      <c r="J163" s="39"/>
      <c r="K163" s="40"/>
      <c r="L163" s="41"/>
      <c r="M163" s="38"/>
      <c r="N163" s="15"/>
      <c r="O163" s="15"/>
      <c r="P163" s="15"/>
      <c r="Q163" s="15"/>
      <c r="R163" s="16"/>
      <c r="S163" s="38"/>
      <c r="T163" s="38"/>
      <c r="U163" s="38"/>
      <c r="V163" s="38"/>
      <c r="W163" s="38"/>
      <c r="X163" s="38"/>
      <c r="Y163" s="38"/>
      <c r="Z163" s="38"/>
      <c r="AA163" s="38"/>
      <c r="AB163" s="38"/>
      <c r="AC163" s="38"/>
    </row>
    <row r="164" spans="1:29" ht="12.75">
      <c r="A164" s="38"/>
      <c r="B164" s="38"/>
      <c r="C164" s="40"/>
      <c r="D164" s="41"/>
      <c r="E164" s="40"/>
      <c r="F164" s="41"/>
      <c r="G164" s="40"/>
      <c r="H164" s="41"/>
      <c r="I164" s="39"/>
      <c r="J164" s="39"/>
      <c r="K164" s="40"/>
      <c r="L164" s="41"/>
      <c r="M164" s="38"/>
      <c r="N164" s="15"/>
      <c r="O164" s="15"/>
      <c r="P164" s="15"/>
      <c r="Q164" s="15"/>
      <c r="R164" s="16"/>
      <c r="S164" s="38"/>
      <c r="T164" s="38"/>
      <c r="U164" s="38"/>
      <c r="V164" s="38"/>
      <c r="W164" s="38"/>
      <c r="X164" s="38"/>
      <c r="Y164" s="38"/>
      <c r="Z164" s="38"/>
      <c r="AA164" s="38"/>
      <c r="AB164" s="38"/>
      <c r="AC164" s="38"/>
    </row>
    <row r="165" spans="1:29" ht="12.75">
      <c r="A165" s="38"/>
      <c r="B165" s="38"/>
      <c r="C165" s="40"/>
      <c r="D165" s="41"/>
      <c r="E165" s="40"/>
      <c r="F165" s="41"/>
      <c r="G165" s="40"/>
      <c r="H165" s="41"/>
      <c r="I165" s="39"/>
      <c r="J165" s="39"/>
      <c r="K165" s="40"/>
      <c r="L165" s="41"/>
      <c r="M165" s="38"/>
      <c r="N165" s="15"/>
      <c r="O165" s="15"/>
      <c r="P165" s="15"/>
      <c r="Q165" s="15"/>
      <c r="R165" s="16"/>
      <c r="S165" s="38"/>
      <c r="T165" s="38"/>
      <c r="U165" s="38"/>
      <c r="V165" s="38"/>
      <c r="W165" s="38"/>
      <c r="X165" s="38"/>
      <c r="Y165" s="38"/>
      <c r="Z165" s="38"/>
      <c r="AA165" s="38"/>
      <c r="AB165" s="38"/>
      <c r="AC165" s="38"/>
    </row>
    <row r="166" spans="1:29" ht="12.75">
      <c r="A166" s="38"/>
      <c r="B166" s="38"/>
      <c r="C166" s="40"/>
      <c r="D166" s="41"/>
      <c r="E166" s="40"/>
      <c r="F166" s="41"/>
      <c r="G166" s="40"/>
      <c r="H166" s="41"/>
      <c r="I166" s="39"/>
      <c r="J166" s="39"/>
      <c r="K166" s="40"/>
      <c r="L166" s="41"/>
      <c r="M166" s="38"/>
      <c r="N166" s="15"/>
      <c r="O166" s="15"/>
      <c r="P166" s="15"/>
      <c r="Q166" s="15"/>
      <c r="R166" s="16"/>
      <c r="S166" s="38"/>
      <c r="T166" s="38"/>
      <c r="U166" s="38"/>
      <c r="V166" s="38"/>
      <c r="W166" s="38"/>
      <c r="X166" s="38"/>
      <c r="Y166" s="38"/>
      <c r="Z166" s="38"/>
      <c r="AA166" s="38"/>
      <c r="AB166" s="38"/>
      <c r="AC166" s="38"/>
    </row>
    <row r="167" spans="1:29" ht="12.75">
      <c r="A167" s="38"/>
      <c r="B167" s="38"/>
      <c r="C167" s="40"/>
      <c r="D167" s="41"/>
      <c r="E167" s="40"/>
      <c r="F167" s="41"/>
      <c r="G167" s="40"/>
      <c r="H167" s="41"/>
      <c r="I167" s="39"/>
      <c r="J167" s="39"/>
      <c r="K167" s="40"/>
      <c r="L167" s="41"/>
      <c r="M167" s="38"/>
      <c r="N167" s="15"/>
      <c r="O167" s="15"/>
      <c r="P167" s="15"/>
      <c r="Q167" s="15"/>
      <c r="R167" s="16"/>
      <c r="S167" s="38"/>
      <c r="T167" s="38"/>
      <c r="U167" s="38"/>
      <c r="V167" s="38"/>
      <c r="W167" s="38"/>
      <c r="X167" s="38"/>
      <c r="Y167" s="38"/>
      <c r="Z167" s="38"/>
      <c r="AA167" s="38"/>
      <c r="AB167" s="38"/>
      <c r="AC167" s="38"/>
    </row>
    <row r="168" spans="1:29" ht="12.75">
      <c r="A168" s="38"/>
      <c r="B168" s="38"/>
      <c r="C168" s="40"/>
      <c r="D168" s="41"/>
      <c r="E168" s="40"/>
      <c r="F168" s="41"/>
      <c r="G168" s="40"/>
      <c r="H168" s="41"/>
      <c r="I168" s="39"/>
      <c r="J168" s="39"/>
      <c r="K168" s="40"/>
      <c r="L168" s="41"/>
      <c r="M168" s="38"/>
      <c r="N168" s="15"/>
      <c r="O168" s="15"/>
      <c r="P168" s="15"/>
      <c r="Q168" s="15"/>
      <c r="R168" s="16"/>
      <c r="S168" s="38"/>
      <c r="T168" s="38"/>
      <c r="U168" s="38"/>
      <c r="V168" s="38"/>
      <c r="W168" s="38"/>
      <c r="X168" s="38"/>
      <c r="Y168" s="38"/>
      <c r="Z168" s="38"/>
      <c r="AA168" s="38"/>
      <c r="AB168" s="38"/>
      <c r="AC168" s="38"/>
    </row>
    <row r="169" spans="1:29" ht="12.75">
      <c r="A169" s="38"/>
      <c r="B169" s="38"/>
      <c r="C169" s="40"/>
      <c r="D169" s="41"/>
      <c r="E169" s="40"/>
      <c r="F169" s="41"/>
      <c r="G169" s="40"/>
      <c r="H169" s="41"/>
      <c r="I169" s="39"/>
      <c r="J169" s="39"/>
      <c r="K169" s="40"/>
      <c r="L169" s="41"/>
      <c r="M169" s="38"/>
      <c r="N169" s="15"/>
      <c r="O169" s="15"/>
      <c r="P169" s="15"/>
      <c r="Q169" s="15"/>
      <c r="R169" s="16"/>
      <c r="S169" s="38"/>
      <c r="T169" s="38"/>
      <c r="U169" s="38"/>
      <c r="V169" s="38"/>
      <c r="W169" s="38"/>
      <c r="X169" s="38"/>
      <c r="Y169" s="38"/>
      <c r="Z169" s="38"/>
      <c r="AA169" s="38"/>
      <c r="AB169" s="38"/>
      <c r="AC169" s="38"/>
    </row>
    <row r="170" spans="1:29" ht="12.75">
      <c r="A170" s="38"/>
      <c r="B170" s="38"/>
      <c r="C170" s="40"/>
      <c r="D170" s="41"/>
      <c r="E170" s="40"/>
      <c r="F170" s="41"/>
      <c r="G170" s="40"/>
      <c r="H170" s="41"/>
      <c r="I170" s="39"/>
      <c r="J170" s="39"/>
      <c r="K170" s="40"/>
      <c r="L170" s="41"/>
      <c r="M170" s="38"/>
      <c r="N170" s="15"/>
      <c r="O170" s="15"/>
      <c r="P170" s="15"/>
      <c r="Q170" s="15"/>
      <c r="R170" s="16"/>
      <c r="S170" s="38"/>
      <c r="T170" s="38"/>
      <c r="U170" s="38"/>
      <c r="V170" s="38"/>
      <c r="W170" s="38"/>
      <c r="X170" s="38"/>
      <c r="Y170" s="38"/>
      <c r="Z170" s="38"/>
      <c r="AA170" s="38"/>
      <c r="AB170" s="38"/>
      <c r="AC170" s="38"/>
    </row>
    <row r="171" spans="1:29" ht="12.75">
      <c r="A171" s="38"/>
      <c r="B171" s="38"/>
      <c r="C171" s="40"/>
      <c r="D171" s="41"/>
      <c r="E171" s="40"/>
      <c r="F171" s="41"/>
      <c r="G171" s="40"/>
      <c r="H171" s="41"/>
      <c r="I171" s="39"/>
      <c r="J171" s="39"/>
      <c r="K171" s="40"/>
      <c r="L171" s="41"/>
      <c r="M171" s="38"/>
      <c r="N171" s="15"/>
      <c r="O171" s="15"/>
      <c r="P171" s="15"/>
      <c r="Q171" s="15"/>
      <c r="R171" s="16"/>
      <c r="S171" s="38"/>
      <c r="T171" s="38"/>
      <c r="U171" s="38"/>
      <c r="V171" s="38"/>
      <c r="W171" s="38"/>
      <c r="X171" s="38"/>
      <c r="Y171" s="38"/>
      <c r="Z171" s="38"/>
      <c r="AA171" s="38"/>
      <c r="AB171" s="38"/>
      <c r="AC171" s="38"/>
    </row>
    <row r="172" spans="1:29" ht="12.75">
      <c r="A172" s="38"/>
      <c r="B172" s="38"/>
      <c r="C172" s="40"/>
      <c r="D172" s="41"/>
      <c r="E172" s="40"/>
      <c r="F172" s="41"/>
      <c r="G172" s="40"/>
      <c r="H172" s="41"/>
      <c r="I172" s="39"/>
      <c r="J172" s="39"/>
      <c r="K172" s="40"/>
      <c r="L172" s="41"/>
      <c r="M172" s="38"/>
      <c r="N172" s="15"/>
      <c r="O172" s="15"/>
      <c r="P172" s="15"/>
      <c r="Q172" s="15"/>
      <c r="R172" s="16"/>
      <c r="S172" s="38"/>
      <c r="T172" s="38"/>
      <c r="U172" s="38"/>
      <c r="V172" s="38"/>
      <c r="W172" s="38"/>
      <c r="X172" s="38"/>
      <c r="Y172" s="38"/>
      <c r="Z172" s="38"/>
      <c r="AA172" s="38"/>
      <c r="AB172" s="38"/>
      <c r="AC172" s="38"/>
    </row>
    <row r="173" spans="1:29" ht="12.75">
      <c r="A173" s="38"/>
      <c r="B173" s="38"/>
      <c r="C173" s="40"/>
      <c r="D173" s="41"/>
      <c r="E173" s="40"/>
      <c r="F173" s="41"/>
      <c r="G173" s="40"/>
      <c r="H173" s="41"/>
      <c r="I173" s="39"/>
      <c r="J173" s="39"/>
      <c r="K173" s="40"/>
      <c r="L173" s="41"/>
      <c r="M173" s="38"/>
      <c r="N173" s="15"/>
      <c r="O173" s="15"/>
      <c r="P173" s="15"/>
      <c r="Q173" s="15"/>
      <c r="R173" s="16"/>
      <c r="S173" s="38"/>
      <c r="T173" s="38"/>
      <c r="U173" s="38"/>
      <c r="V173" s="38"/>
      <c r="W173" s="38"/>
      <c r="X173" s="38"/>
      <c r="Y173" s="38"/>
      <c r="Z173" s="38"/>
      <c r="AA173" s="38"/>
      <c r="AB173" s="38"/>
      <c r="AC173" s="38"/>
    </row>
    <row r="174" spans="1:29" ht="12.75">
      <c r="A174" s="38"/>
      <c r="B174" s="38"/>
      <c r="C174" s="40"/>
      <c r="D174" s="41"/>
      <c r="E174" s="40"/>
      <c r="F174" s="41"/>
      <c r="G174" s="40"/>
      <c r="H174" s="41"/>
      <c r="I174" s="39"/>
      <c r="J174" s="39"/>
      <c r="K174" s="40"/>
      <c r="L174" s="41"/>
      <c r="M174" s="38"/>
      <c r="N174" s="15"/>
      <c r="O174" s="15"/>
      <c r="P174" s="15"/>
      <c r="Q174" s="15"/>
      <c r="R174" s="16"/>
      <c r="S174" s="38"/>
      <c r="T174" s="38"/>
      <c r="U174" s="38"/>
      <c r="V174" s="38"/>
      <c r="W174" s="38"/>
      <c r="X174" s="38"/>
      <c r="Y174" s="38"/>
      <c r="Z174" s="38"/>
      <c r="AA174" s="38"/>
      <c r="AB174" s="38"/>
      <c r="AC174" s="38"/>
    </row>
    <row r="175" spans="1:29" ht="12.75">
      <c r="A175" s="38"/>
      <c r="B175" s="38"/>
      <c r="C175" s="40"/>
      <c r="D175" s="41"/>
      <c r="E175" s="40"/>
      <c r="F175" s="41"/>
      <c r="G175" s="40"/>
      <c r="H175" s="41"/>
      <c r="I175" s="39"/>
      <c r="J175" s="39"/>
      <c r="K175" s="40"/>
      <c r="L175" s="41"/>
      <c r="M175" s="38"/>
      <c r="N175" s="15"/>
      <c r="O175" s="15"/>
      <c r="P175" s="15"/>
      <c r="Q175" s="15"/>
      <c r="R175" s="16"/>
      <c r="S175" s="38"/>
      <c r="T175" s="38"/>
      <c r="U175" s="38"/>
      <c r="V175" s="38"/>
      <c r="W175" s="38"/>
      <c r="X175" s="38"/>
      <c r="Y175" s="38"/>
      <c r="Z175" s="38"/>
      <c r="AA175" s="38"/>
      <c r="AB175" s="38"/>
      <c r="AC175" s="38"/>
    </row>
    <row r="176" spans="1:29" ht="12.75">
      <c r="A176" s="38"/>
      <c r="B176" s="38"/>
      <c r="C176" s="40"/>
      <c r="D176" s="41"/>
      <c r="E176" s="40"/>
      <c r="F176" s="41"/>
      <c r="G176" s="40"/>
      <c r="H176" s="41"/>
      <c r="I176" s="39"/>
      <c r="J176" s="39"/>
      <c r="K176" s="40"/>
      <c r="L176" s="41"/>
      <c r="M176" s="38"/>
      <c r="N176" s="15"/>
      <c r="O176" s="15"/>
      <c r="P176" s="15"/>
      <c r="Q176" s="15"/>
      <c r="R176" s="16"/>
      <c r="S176" s="38"/>
      <c r="T176" s="38"/>
      <c r="U176" s="38"/>
      <c r="V176" s="38"/>
      <c r="W176" s="38"/>
      <c r="X176" s="38"/>
      <c r="Y176" s="38"/>
      <c r="Z176" s="38"/>
      <c r="AA176" s="38"/>
      <c r="AB176" s="38"/>
      <c r="AC176" s="38"/>
    </row>
    <row r="177" spans="1:29" ht="12.75">
      <c r="A177" s="38"/>
      <c r="B177" s="38"/>
      <c r="C177" s="40"/>
      <c r="D177" s="41"/>
      <c r="E177" s="40"/>
      <c r="F177" s="41"/>
      <c r="G177" s="40"/>
      <c r="H177" s="41"/>
      <c r="I177" s="39"/>
      <c r="J177" s="39"/>
      <c r="K177" s="40"/>
      <c r="L177" s="41"/>
      <c r="M177" s="38"/>
      <c r="N177" s="15"/>
      <c r="O177" s="15"/>
      <c r="P177" s="15"/>
      <c r="Q177" s="15"/>
      <c r="R177" s="16"/>
      <c r="S177" s="38"/>
      <c r="T177" s="38"/>
      <c r="U177" s="38"/>
      <c r="V177" s="38"/>
      <c r="W177" s="38"/>
      <c r="X177" s="38"/>
      <c r="Y177" s="38"/>
      <c r="Z177" s="38"/>
      <c r="AA177" s="38"/>
      <c r="AB177" s="38"/>
      <c r="AC177" s="38"/>
    </row>
    <row r="178" spans="1:29" ht="12.75">
      <c r="A178" s="38"/>
      <c r="B178" s="38"/>
      <c r="C178" s="40"/>
      <c r="D178" s="41"/>
      <c r="E178" s="40"/>
      <c r="F178" s="41"/>
      <c r="G178" s="40"/>
      <c r="H178" s="41"/>
      <c r="I178" s="39"/>
      <c r="J178" s="39"/>
      <c r="K178" s="40"/>
      <c r="L178" s="41"/>
      <c r="M178" s="38"/>
      <c r="N178" s="15"/>
      <c r="O178" s="15"/>
      <c r="P178" s="15"/>
      <c r="Q178" s="15"/>
      <c r="R178" s="16"/>
      <c r="S178" s="38"/>
      <c r="T178" s="38"/>
      <c r="U178" s="38"/>
      <c r="V178" s="38"/>
      <c r="W178" s="38"/>
      <c r="X178" s="38"/>
      <c r="Y178" s="38"/>
      <c r="Z178" s="38"/>
      <c r="AA178" s="38"/>
      <c r="AB178" s="38"/>
      <c r="AC178" s="38"/>
    </row>
    <row r="179" spans="1:29" ht="12.75">
      <c r="A179" s="38"/>
      <c r="B179" s="38"/>
      <c r="C179" s="40"/>
      <c r="D179" s="41"/>
      <c r="E179" s="40"/>
      <c r="F179" s="41"/>
      <c r="G179" s="40"/>
      <c r="H179" s="41"/>
      <c r="I179" s="39"/>
      <c r="J179" s="39"/>
      <c r="K179" s="40"/>
      <c r="L179" s="41"/>
      <c r="M179" s="38"/>
      <c r="N179" s="15"/>
      <c r="O179" s="15"/>
      <c r="P179" s="15"/>
      <c r="Q179" s="15"/>
      <c r="R179" s="16"/>
      <c r="S179" s="38"/>
      <c r="T179" s="38"/>
      <c r="U179" s="38"/>
      <c r="V179" s="38"/>
      <c r="W179" s="38"/>
      <c r="X179" s="38"/>
      <c r="Y179" s="38"/>
      <c r="Z179" s="38"/>
      <c r="AA179" s="38"/>
      <c r="AB179" s="38"/>
      <c r="AC179" s="38"/>
    </row>
    <row r="180" spans="1:29" ht="12.75">
      <c r="A180" s="38"/>
      <c r="B180" s="38"/>
      <c r="C180" s="40"/>
      <c r="D180" s="41"/>
      <c r="E180" s="40"/>
      <c r="F180" s="41"/>
      <c r="G180" s="40"/>
      <c r="H180" s="41"/>
      <c r="I180" s="39"/>
      <c r="J180" s="39"/>
      <c r="K180" s="40"/>
      <c r="L180" s="41"/>
      <c r="M180" s="38"/>
      <c r="N180" s="15"/>
      <c r="O180" s="15"/>
      <c r="P180" s="15"/>
      <c r="Q180" s="15"/>
      <c r="R180" s="16"/>
      <c r="S180" s="38"/>
      <c r="T180" s="38"/>
      <c r="U180" s="38"/>
      <c r="V180" s="38"/>
      <c r="W180" s="38"/>
      <c r="X180" s="38"/>
      <c r="Y180" s="38"/>
      <c r="Z180" s="38"/>
      <c r="AA180" s="38"/>
      <c r="AB180" s="38"/>
      <c r="AC180" s="38"/>
    </row>
    <row r="181" spans="1:29" ht="12.75">
      <c r="A181" s="38"/>
      <c r="B181" s="38"/>
      <c r="C181" s="40"/>
      <c r="D181" s="41"/>
      <c r="E181" s="40"/>
      <c r="F181" s="41"/>
      <c r="G181" s="40"/>
      <c r="H181" s="41"/>
      <c r="I181" s="39"/>
      <c r="J181" s="39"/>
      <c r="K181" s="40"/>
      <c r="L181" s="41"/>
      <c r="M181" s="38"/>
      <c r="N181" s="15"/>
      <c r="O181" s="15"/>
      <c r="P181" s="15"/>
      <c r="Q181" s="15"/>
      <c r="R181" s="16"/>
      <c r="S181" s="38"/>
      <c r="T181" s="38"/>
      <c r="U181" s="38"/>
      <c r="V181" s="38"/>
      <c r="W181" s="38"/>
      <c r="X181" s="38"/>
      <c r="Y181" s="38"/>
      <c r="Z181" s="38"/>
      <c r="AA181" s="38"/>
      <c r="AB181" s="38"/>
      <c r="AC181" s="38"/>
    </row>
    <row r="182" spans="1:29" ht="12.75">
      <c r="A182" s="38"/>
      <c r="B182" s="38"/>
      <c r="C182" s="40"/>
      <c r="D182" s="41"/>
      <c r="E182" s="40"/>
      <c r="F182" s="41"/>
      <c r="G182" s="40"/>
      <c r="H182" s="41"/>
      <c r="I182" s="39"/>
      <c r="J182" s="39"/>
      <c r="K182" s="40"/>
      <c r="L182" s="41"/>
      <c r="M182" s="38"/>
      <c r="N182" s="15"/>
      <c r="O182" s="15"/>
      <c r="P182" s="15"/>
      <c r="Q182" s="15"/>
      <c r="R182" s="16"/>
      <c r="S182" s="38"/>
      <c r="T182" s="38"/>
      <c r="U182" s="38"/>
      <c r="V182" s="38"/>
      <c r="W182" s="38"/>
      <c r="X182" s="38"/>
      <c r="Y182" s="38"/>
      <c r="Z182" s="38"/>
      <c r="AA182" s="38"/>
      <c r="AB182" s="38"/>
      <c r="AC182" s="38"/>
    </row>
    <row r="183" spans="1:29" ht="12.75">
      <c r="A183" s="38"/>
      <c r="B183" s="38"/>
      <c r="C183" s="40"/>
      <c r="D183" s="41"/>
      <c r="E183" s="40"/>
      <c r="F183" s="41"/>
      <c r="G183" s="40"/>
      <c r="H183" s="41"/>
      <c r="I183" s="39"/>
      <c r="J183" s="39"/>
      <c r="K183" s="40"/>
      <c r="L183" s="41"/>
      <c r="M183" s="38"/>
      <c r="N183" s="15"/>
      <c r="O183" s="15"/>
      <c r="P183" s="15"/>
      <c r="Q183" s="15"/>
      <c r="R183" s="16"/>
      <c r="S183" s="38"/>
      <c r="T183" s="38"/>
      <c r="U183" s="38"/>
      <c r="V183" s="38"/>
      <c r="W183" s="38"/>
      <c r="X183" s="38"/>
      <c r="Y183" s="38"/>
      <c r="Z183" s="38"/>
      <c r="AA183" s="38"/>
      <c r="AB183" s="38"/>
      <c r="AC183" s="38"/>
    </row>
    <row r="184" spans="1:29" ht="12.75">
      <c r="A184" s="38"/>
      <c r="B184" s="38"/>
      <c r="C184" s="40"/>
      <c r="D184" s="41"/>
      <c r="E184" s="40"/>
      <c r="F184" s="41"/>
      <c r="G184" s="40"/>
      <c r="H184" s="41"/>
      <c r="I184" s="39"/>
      <c r="J184" s="39"/>
      <c r="K184" s="40"/>
      <c r="L184" s="41"/>
      <c r="M184" s="38"/>
      <c r="N184" s="15"/>
      <c r="O184" s="15"/>
      <c r="P184" s="15"/>
      <c r="Q184" s="15"/>
      <c r="R184" s="16"/>
      <c r="S184" s="38"/>
      <c r="T184" s="38"/>
      <c r="U184" s="38"/>
      <c r="V184" s="38"/>
      <c r="W184" s="38"/>
      <c r="X184" s="38"/>
      <c r="Y184" s="38"/>
      <c r="Z184" s="38"/>
      <c r="AA184" s="38"/>
      <c r="AB184" s="38"/>
      <c r="AC184" s="38"/>
    </row>
    <row r="185" spans="1:29" ht="12.75">
      <c r="A185" s="38"/>
      <c r="B185" s="38"/>
      <c r="C185" s="40"/>
      <c r="D185" s="41"/>
      <c r="E185" s="40"/>
      <c r="F185" s="41"/>
      <c r="G185" s="40"/>
      <c r="H185" s="41"/>
      <c r="I185" s="39"/>
      <c r="J185" s="39"/>
      <c r="K185" s="40"/>
      <c r="L185" s="41"/>
      <c r="M185" s="38"/>
      <c r="N185" s="15"/>
      <c r="O185" s="15"/>
      <c r="P185" s="15"/>
      <c r="Q185" s="15"/>
      <c r="R185" s="16"/>
      <c r="S185" s="38"/>
      <c r="T185" s="38"/>
      <c r="U185" s="38"/>
      <c r="V185" s="38"/>
      <c r="W185" s="38"/>
      <c r="X185" s="38"/>
      <c r="Y185" s="38"/>
      <c r="Z185" s="38"/>
      <c r="AA185" s="38"/>
      <c r="AB185" s="38"/>
      <c r="AC185" s="38"/>
    </row>
    <row r="186" spans="1:29" ht="12.75">
      <c r="A186" s="38"/>
      <c r="B186" s="38"/>
      <c r="C186" s="40"/>
      <c r="D186" s="41"/>
      <c r="E186" s="40"/>
      <c r="F186" s="41"/>
      <c r="G186" s="40"/>
      <c r="H186" s="41"/>
      <c r="I186" s="39"/>
      <c r="J186" s="39"/>
      <c r="K186" s="40"/>
      <c r="L186" s="41"/>
      <c r="M186" s="38"/>
      <c r="N186" s="15"/>
      <c r="O186" s="15"/>
      <c r="P186" s="15"/>
      <c r="Q186" s="15"/>
      <c r="R186" s="16"/>
      <c r="S186" s="38"/>
      <c r="T186" s="38"/>
      <c r="U186" s="38"/>
      <c r="V186" s="38"/>
      <c r="W186" s="38"/>
      <c r="X186" s="38"/>
      <c r="Y186" s="38"/>
      <c r="Z186" s="38"/>
      <c r="AA186" s="38"/>
      <c r="AB186" s="38"/>
      <c r="AC186" s="38"/>
    </row>
    <row r="187" spans="1:29" ht="12.75">
      <c r="A187" s="38"/>
      <c r="B187" s="38"/>
      <c r="C187" s="40"/>
      <c r="D187" s="41"/>
      <c r="E187" s="40"/>
      <c r="F187" s="41"/>
      <c r="G187" s="40"/>
      <c r="H187" s="41"/>
      <c r="I187" s="39"/>
      <c r="J187" s="39"/>
      <c r="K187" s="40"/>
      <c r="L187" s="41"/>
      <c r="M187" s="38"/>
      <c r="N187" s="15"/>
      <c r="O187" s="15"/>
      <c r="P187" s="15"/>
      <c r="Q187" s="15"/>
      <c r="R187" s="16"/>
      <c r="S187" s="38"/>
      <c r="T187" s="38"/>
      <c r="U187" s="38"/>
      <c r="V187" s="38"/>
      <c r="W187" s="38"/>
      <c r="X187" s="38"/>
      <c r="Y187" s="38"/>
      <c r="Z187" s="38"/>
      <c r="AA187" s="38"/>
      <c r="AB187" s="38"/>
      <c r="AC187" s="38"/>
    </row>
    <row r="188" spans="1:29" ht="12.75">
      <c r="A188" s="38"/>
      <c r="B188" s="38"/>
      <c r="C188" s="40"/>
      <c r="D188" s="41"/>
      <c r="E188" s="40"/>
      <c r="F188" s="41"/>
      <c r="G188" s="40"/>
      <c r="H188" s="41"/>
      <c r="I188" s="39"/>
      <c r="J188" s="39"/>
      <c r="K188" s="40"/>
      <c r="L188" s="41"/>
      <c r="M188" s="38"/>
      <c r="N188" s="15"/>
      <c r="O188" s="15"/>
      <c r="P188" s="15"/>
      <c r="Q188" s="15"/>
      <c r="R188" s="16"/>
      <c r="S188" s="38"/>
      <c r="T188" s="38"/>
      <c r="U188" s="38"/>
      <c r="V188" s="38"/>
      <c r="W188" s="38"/>
      <c r="X188" s="38"/>
      <c r="Y188" s="38"/>
      <c r="Z188" s="38"/>
      <c r="AA188" s="38"/>
      <c r="AB188" s="38"/>
      <c r="AC188" s="38"/>
    </row>
    <row r="189" spans="1:29" ht="12.75">
      <c r="A189" s="38"/>
      <c r="B189" s="38"/>
      <c r="C189" s="40"/>
      <c r="D189" s="41"/>
      <c r="E189" s="40"/>
      <c r="F189" s="41"/>
      <c r="G189" s="40"/>
      <c r="H189" s="41"/>
      <c r="I189" s="39"/>
      <c r="J189" s="39"/>
      <c r="K189" s="40"/>
      <c r="L189" s="41"/>
      <c r="M189" s="38"/>
      <c r="N189" s="15"/>
      <c r="O189" s="15"/>
      <c r="P189" s="15"/>
      <c r="Q189" s="15"/>
      <c r="R189" s="16"/>
      <c r="S189" s="38"/>
      <c r="T189" s="38"/>
      <c r="U189" s="38"/>
      <c r="V189" s="38"/>
      <c r="W189" s="38"/>
      <c r="X189" s="38"/>
      <c r="Y189" s="38"/>
      <c r="Z189" s="38"/>
      <c r="AA189" s="38"/>
      <c r="AB189" s="38"/>
      <c r="AC189" s="38"/>
    </row>
    <row r="190" spans="1:29" ht="12.75">
      <c r="A190" s="38"/>
      <c r="B190" s="38"/>
      <c r="C190" s="40"/>
      <c r="D190" s="41"/>
      <c r="E190" s="40"/>
      <c r="F190" s="41"/>
      <c r="G190" s="40"/>
      <c r="H190" s="41"/>
      <c r="I190" s="39"/>
      <c r="J190" s="39"/>
      <c r="K190" s="40"/>
      <c r="L190" s="41"/>
      <c r="M190" s="38"/>
      <c r="N190" s="15"/>
      <c r="O190" s="15"/>
      <c r="P190" s="15"/>
      <c r="Q190" s="15"/>
      <c r="R190" s="16"/>
      <c r="S190" s="38"/>
      <c r="T190" s="38"/>
      <c r="U190" s="38"/>
      <c r="V190" s="38"/>
      <c r="W190" s="38"/>
      <c r="X190" s="38"/>
      <c r="Y190" s="38"/>
      <c r="Z190" s="38"/>
      <c r="AA190" s="38"/>
      <c r="AB190" s="38"/>
      <c r="AC190" s="38"/>
    </row>
    <row r="191" spans="1:29" ht="12.75">
      <c r="A191" s="38"/>
      <c r="B191" s="38"/>
      <c r="C191" s="40"/>
      <c r="D191" s="41"/>
      <c r="E191" s="40"/>
      <c r="F191" s="41"/>
      <c r="G191" s="40"/>
      <c r="H191" s="41"/>
      <c r="I191" s="39"/>
      <c r="J191" s="39"/>
      <c r="K191" s="40"/>
      <c r="L191" s="41"/>
      <c r="M191" s="38"/>
      <c r="N191" s="15"/>
      <c r="O191" s="15"/>
      <c r="P191" s="15"/>
      <c r="Q191" s="15"/>
      <c r="R191" s="16"/>
      <c r="S191" s="38"/>
      <c r="T191" s="38"/>
      <c r="U191" s="38"/>
      <c r="V191" s="38"/>
      <c r="W191" s="38"/>
      <c r="X191" s="38"/>
      <c r="Y191" s="38"/>
      <c r="Z191" s="38"/>
      <c r="AA191" s="38"/>
      <c r="AB191" s="38"/>
      <c r="AC191" s="38"/>
    </row>
    <row r="192" spans="1:29" ht="12.75">
      <c r="A192" s="38"/>
      <c r="B192" s="38"/>
      <c r="C192" s="40"/>
      <c r="D192" s="41"/>
      <c r="E192" s="40"/>
      <c r="F192" s="41"/>
      <c r="G192" s="40"/>
      <c r="H192" s="41"/>
      <c r="I192" s="39"/>
      <c r="J192" s="39"/>
      <c r="K192" s="40"/>
      <c r="L192" s="41"/>
      <c r="M192" s="38"/>
      <c r="N192" s="15"/>
      <c r="O192" s="15"/>
      <c r="P192" s="15"/>
      <c r="Q192" s="15"/>
      <c r="R192" s="16"/>
      <c r="S192" s="38"/>
      <c r="T192" s="38"/>
      <c r="U192" s="38"/>
      <c r="V192" s="38"/>
      <c r="W192" s="38"/>
      <c r="X192" s="38"/>
      <c r="Y192" s="38"/>
      <c r="Z192" s="38"/>
      <c r="AA192" s="38"/>
      <c r="AB192" s="38"/>
      <c r="AC192" s="38"/>
    </row>
    <row r="193" spans="1:29" ht="12.75">
      <c r="A193" s="38"/>
      <c r="B193" s="38"/>
      <c r="C193" s="40"/>
      <c r="D193" s="41"/>
      <c r="E193" s="40"/>
      <c r="F193" s="41"/>
      <c r="G193" s="40"/>
      <c r="H193" s="41"/>
      <c r="I193" s="39"/>
      <c r="J193" s="39"/>
      <c r="K193" s="40"/>
      <c r="L193" s="41"/>
      <c r="M193" s="38"/>
      <c r="N193" s="15"/>
      <c r="O193" s="15"/>
      <c r="P193" s="15"/>
      <c r="Q193" s="15"/>
      <c r="R193" s="16"/>
      <c r="S193" s="38"/>
      <c r="T193" s="38"/>
      <c r="U193" s="38"/>
      <c r="V193" s="38"/>
      <c r="W193" s="38"/>
      <c r="X193" s="38"/>
      <c r="Y193" s="38"/>
      <c r="Z193" s="38"/>
      <c r="AA193" s="38"/>
      <c r="AB193" s="38"/>
      <c r="AC193" s="38"/>
    </row>
    <row r="194" spans="1:29" ht="12.75">
      <c r="A194" s="38"/>
      <c r="B194" s="38"/>
      <c r="C194" s="40"/>
      <c r="D194" s="41"/>
      <c r="E194" s="40"/>
      <c r="F194" s="41"/>
      <c r="G194" s="40"/>
      <c r="H194" s="41"/>
      <c r="I194" s="39"/>
      <c r="J194" s="39"/>
      <c r="K194" s="40"/>
      <c r="L194" s="41"/>
      <c r="M194" s="38"/>
      <c r="N194" s="15"/>
      <c r="O194" s="15"/>
      <c r="P194" s="15"/>
      <c r="Q194" s="15"/>
      <c r="R194" s="16"/>
      <c r="S194" s="38"/>
      <c r="T194" s="38"/>
      <c r="U194" s="38"/>
      <c r="V194" s="38"/>
      <c r="W194" s="38"/>
      <c r="X194" s="38"/>
      <c r="Y194" s="38"/>
      <c r="Z194" s="38"/>
      <c r="AA194" s="38"/>
      <c r="AB194" s="38"/>
      <c r="AC194" s="38"/>
    </row>
    <row r="195" spans="1:29" ht="12.75">
      <c r="A195" s="38"/>
      <c r="B195" s="38"/>
      <c r="C195" s="40"/>
      <c r="D195" s="41"/>
      <c r="E195" s="40"/>
      <c r="F195" s="41"/>
      <c r="G195" s="40"/>
      <c r="H195" s="41"/>
      <c r="I195" s="39"/>
      <c r="J195" s="39"/>
      <c r="K195" s="40"/>
      <c r="L195" s="41"/>
      <c r="M195" s="38"/>
      <c r="N195" s="15"/>
      <c r="O195" s="15"/>
      <c r="P195" s="15"/>
      <c r="Q195" s="15"/>
      <c r="R195" s="16"/>
      <c r="S195" s="38"/>
      <c r="T195" s="38"/>
      <c r="U195" s="38"/>
      <c r="V195" s="38"/>
      <c r="W195" s="38"/>
      <c r="X195" s="38"/>
      <c r="Y195" s="38"/>
      <c r="Z195" s="38"/>
      <c r="AA195" s="38"/>
      <c r="AB195" s="38"/>
      <c r="AC195" s="38"/>
    </row>
    <row r="196" spans="1:29" ht="12.75">
      <c r="A196" s="38"/>
      <c r="B196" s="38"/>
      <c r="C196" s="40"/>
      <c r="D196" s="41"/>
      <c r="E196" s="40"/>
      <c r="F196" s="41"/>
      <c r="G196" s="40"/>
      <c r="H196" s="41"/>
      <c r="I196" s="39"/>
      <c r="J196" s="39"/>
      <c r="K196" s="40"/>
      <c r="L196" s="41"/>
      <c r="M196" s="38"/>
      <c r="N196" s="15"/>
      <c r="O196" s="15"/>
      <c r="P196" s="15"/>
      <c r="Q196" s="15"/>
      <c r="R196" s="16"/>
      <c r="S196" s="38"/>
      <c r="T196" s="38"/>
      <c r="U196" s="38"/>
      <c r="V196" s="38"/>
      <c r="W196" s="38"/>
      <c r="X196" s="38"/>
      <c r="Y196" s="38"/>
      <c r="Z196" s="38"/>
      <c r="AA196" s="38"/>
      <c r="AB196" s="38"/>
      <c r="AC196" s="38"/>
    </row>
    <row r="197" spans="1:29" ht="12.75">
      <c r="A197" s="38"/>
      <c r="B197" s="38"/>
      <c r="C197" s="40"/>
      <c r="D197" s="41"/>
      <c r="E197" s="40"/>
      <c r="F197" s="41"/>
      <c r="G197" s="40"/>
      <c r="H197" s="41"/>
      <c r="I197" s="39"/>
      <c r="J197" s="39"/>
      <c r="K197" s="40"/>
      <c r="L197" s="41"/>
      <c r="M197" s="38"/>
      <c r="N197" s="15"/>
      <c r="O197" s="15"/>
      <c r="P197" s="15"/>
      <c r="Q197" s="15"/>
      <c r="R197" s="16"/>
      <c r="S197" s="38"/>
      <c r="T197" s="38"/>
      <c r="U197" s="38"/>
      <c r="V197" s="38"/>
      <c r="W197" s="38"/>
      <c r="X197" s="38"/>
      <c r="Y197" s="38"/>
      <c r="Z197" s="38"/>
      <c r="AA197" s="38"/>
      <c r="AB197" s="38"/>
      <c r="AC197" s="38"/>
    </row>
    <row r="198" spans="1:29" ht="12.75">
      <c r="A198" s="38"/>
      <c r="B198" s="38"/>
      <c r="C198" s="40"/>
      <c r="D198" s="41"/>
      <c r="E198" s="40"/>
      <c r="F198" s="41"/>
      <c r="G198" s="40"/>
      <c r="H198" s="41"/>
      <c r="I198" s="39"/>
      <c r="J198" s="39"/>
      <c r="K198" s="40"/>
      <c r="L198" s="41"/>
      <c r="M198" s="38"/>
      <c r="N198" s="15"/>
      <c r="O198" s="15"/>
      <c r="P198" s="15"/>
      <c r="Q198" s="15"/>
      <c r="R198" s="16"/>
      <c r="S198" s="38"/>
      <c r="T198" s="38"/>
      <c r="U198" s="38"/>
      <c r="V198" s="38"/>
      <c r="W198" s="38"/>
      <c r="X198" s="38"/>
      <c r="Y198" s="38"/>
      <c r="Z198" s="38"/>
      <c r="AA198" s="38"/>
      <c r="AB198" s="38"/>
      <c r="AC198" s="38"/>
    </row>
    <row r="199" spans="1:29" ht="12.75">
      <c r="A199" s="38"/>
      <c r="B199" s="38"/>
      <c r="C199" s="40"/>
      <c r="D199" s="41"/>
      <c r="E199" s="40"/>
      <c r="F199" s="41"/>
      <c r="G199" s="40"/>
      <c r="H199" s="41"/>
      <c r="I199" s="39"/>
      <c r="J199" s="39"/>
      <c r="K199" s="40"/>
      <c r="L199" s="41"/>
      <c r="M199" s="38"/>
      <c r="N199" s="15"/>
      <c r="O199" s="15"/>
      <c r="P199" s="15"/>
      <c r="Q199" s="15"/>
      <c r="R199" s="16"/>
      <c r="S199" s="38"/>
      <c r="T199" s="38"/>
      <c r="U199" s="38"/>
      <c r="V199" s="38"/>
      <c r="W199" s="38"/>
      <c r="X199" s="38"/>
      <c r="Y199" s="38"/>
      <c r="Z199" s="38"/>
      <c r="AA199" s="38"/>
      <c r="AB199" s="38"/>
      <c r="AC199" s="38"/>
    </row>
    <row r="200" spans="1:29" ht="12.75">
      <c r="A200" s="38"/>
      <c r="B200" s="38"/>
      <c r="C200" s="40"/>
      <c r="D200" s="41"/>
      <c r="E200" s="40"/>
      <c r="F200" s="41"/>
      <c r="G200" s="40"/>
      <c r="H200" s="41"/>
      <c r="I200" s="39"/>
      <c r="J200" s="39"/>
      <c r="K200" s="40"/>
      <c r="L200" s="41"/>
      <c r="M200" s="38"/>
      <c r="N200" s="15"/>
      <c r="O200" s="15"/>
      <c r="P200" s="15"/>
      <c r="Q200" s="15"/>
      <c r="R200" s="16"/>
      <c r="S200" s="38"/>
      <c r="T200" s="38"/>
      <c r="U200" s="38"/>
      <c r="V200" s="38"/>
      <c r="W200" s="38"/>
      <c r="X200" s="38"/>
      <c r="Y200" s="38"/>
      <c r="Z200" s="38"/>
      <c r="AA200" s="38"/>
      <c r="AB200" s="38"/>
      <c r="AC200" s="38"/>
    </row>
    <row r="201" spans="1:29" ht="12.75">
      <c r="A201" s="38"/>
      <c r="B201" s="38"/>
      <c r="C201" s="40"/>
      <c r="D201" s="41"/>
      <c r="E201" s="40"/>
      <c r="F201" s="41"/>
      <c r="G201" s="40"/>
      <c r="H201" s="41"/>
      <c r="I201" s="39"/>
      <c r="J201" s="39"/>
      <c r="K201" s="40"/>
      <c r="L201" s="41"/>
      <c r="M201" s="38"/>
      <c r="N201" s="15"/>
      <c r="O201" s="15"/>
      <c r="P201" s="15"/>
      <c r="Q201" s="15"/>
      <c r="R201" s="16"/>
      <c r="S201" s="38"/>
      <c r="T201" s="38"/>
      <c r="U201" s="38"/>
      <c r="V201" s="38"/>
      <c r="W201" s="38"/>
      <c r="X201" s="38"/>
      <c r="Y201" s="38"/>
      <c r="Z201" s="38"/>
      <c r="AA201" s="38"/>
      <c r="AB201" s="38"/>
      <c r="AC201" s="38"/>
    </row>
    <row r="202" spans="1:29" ht="12.75">
      <c r="A202" s="38"/>
      <c r="B202" s="38"/>
      <c r="C202" s="40"/>
      <c r="D202" s="41"/>
      <c r="E202" s="40"/>
      <c r="F202" s="41"/>
      <c r="G202" s="40"/>
      <c r="H202" s="41"/>
      <c r="I202" s="39"/>
      <c r="J202" s="39"/>
      <c r="K202" s="40"/>
      <c r="L202" s="41"/>
      <c r="M202" s="38"/>
      <c r="N202" s="15"/>
      <c r="O202" s="15"/>
      <c r="P202" s="15"/>
      <c r="Q202" s="15"/>
      <c r="R202" s="16"/>
      <c r="S202" s="38"/>
      <c r="T202" s="38"/>
      <c r="U202" s="38"/>
      <c r="V202" s="38"/>
      <c r="W202" s="38"/>
      <c r="X202" s="38"/>
      <c r="Y202" s="38"/>
      <c r="Z202" s="38"/>
      <c r="AA202" s="38"/>
      <c r="AB202" s="38"/>
      <c r="AC202" s="38"/>
    </row>
    <row r="203" spans="1:29" ht="12.75">
      <c r="A203" s="38"/>
      <c r="B203" s="38"/>
      <c r="C203" s="40"/>
      <c r="D203" s="41"/>
      <c r="E203" s="40"/>
      <c r="F203" s="41"/>
      <c r="G203" s="40"/>
      <c r="H203" s="41"/>
      <c r="I203" s="39"/>
      <c r="J203" s="39"/>
      <c r="K203" s="40"/>
      <c r="L203" s="41"/>
      <c r="M203" s="38"/>
      <c r="N203" s="15"/>
      <c r="O203" s="15"/>
      <c r="P203" s="15"/>
      <c r="Q203" s="15"/>
      <c r="R203" s="16"/>
      <c r="S203" s="38"/>
      <c r="T203" s="38"/>
      <c r="U203" s="38"/>
      <c r="V203" s="38"/>
      <c r="W203" s="38"/>
      <c r="X203" s="38"/>
      <c r="Y203" s="38"/>
      <c r="Z203" s="38"/>
      <c r="AA203" s="38"/>
      <c r="AB203" s="38"/>
      <c r="AC203" s="38"/>
    </row>
    <row r="204" spans="1:29" ht="12.75">
      <c r="A204" s="38"/>
      <c r="B204" s="38"/>
      <c r="C204" s="40"/>
      <c r="D204" s="41"/>
      <c r="E204" s="40"/>
      <c r="F204" s="41"/>
      <c r="G204" s="40"/>
      <c r="H204" s="41"/>
      <c r="I204" s="39"/>
      <c r="J204" s="39"/>
      <c r="K204" s="40"/>
      <c r="L204" s="41"/>
      <c r="M204" s="38"/>
      <c r="N204" s="15"/>
      <c r="O204" s="15"/>
      <c r="P204" s="15"/>
      <c r="Q204" s="15"/>
      <c r="R204" s="16"/>
      <c r="S204" s="38"/>
      <c r="T204" s="38"/>
      <c r="U204" s="38"/>
      <c r="V204" s="38"/>
      <c r="W204" s="38"/>
      <c r="X204" s="38"/>
      <c r="Y204" s="38"/>
      <c r="Z204" s="38"/>
      <c r="AA204" s="38"/>
      <c r="AB204" s="38"/>
      <c r="AC204" s="38"/>
    </row>
    <row r="205" spans="1:29" ht="12.75">
      <c r="A205" s="38"/>
      <c r="B205" s="38"/>
      <c r="C205" s="40"/>
      <c r="D205" s="41"/>
      <c r="E205" s="40"/>
      <c r="F205" s="41"/>
      <c r="G205" s="40"/>
      <c r="H205" s="41"/>
      <c r="I205" s="39"/>
      <c r="J205" s="39"/>
      <c r="K205" s="40"/>
      <c r="L205" s="41"/>
      <c r="M205" s="38"/>
      <c r="N205" s="15"/>
      <c r="O205" s="15"/>
      <c r="P205" s="15"/>
      <c r="Q205" s="15"/>
      <c r="R205" s="16"/>
      <c r="S205" s="38"/>
      <c r="T205" s="38"/>
      <c r="U205" s="38"/>
      <c r="V205" s="38"/>
      <c r="W205" s="38"/>
      <c r="X205" s="38"/>
      <c r="Y205" s="38"/>
      <c r="Z205" s="38"/>
      <c r="AA205" s="38"/>
      <c r="AB205" s="38"/>
      <c r="AC205" s="38"/>
    </row>
    <row r="206" spans="1:29" ht="12.75">
      <c r="A206" s="38"/>
      <c r="B206" s="38"/>
      <c r="C206" s="40"/>
      <c r="D206" s="41"/>
      <c r="E206" s="40"/>
      <c r="F206" s="41"/>
      <c r="G206" s="40"/>
      <c r="H206" s="41"/>
      <c r="I206" s="39"/>
      <c r="J206" s="39"/>
      <c r="K206" s="40"/>
      <c r="L206" s="41"/>
      <c r="M206" s="38"/>
      <c r="N206" s="15"/>
      <c r="O206" s="15"/>
      <c r="P206" s="15"/>
      <c r="Q206" s="15"/>
      <c r="R206" s="16"/>
      <c r="S206" s="38"/>
      <c r="T206" s="38"/>
      <c r="U206" s="38"/>
      <c r="V206" s="38"/>
      <c r="W206" s="38"/>
      <c r="X206" s="38"/>
      <c r="Y206" s="38"/>
      <c r="Z206" s="38"/>
      <c r="AA206" s="38"/>
      <c r="AB206" s="38"/>
      <c r="AC206" s="38"/>
    </row>
    <row r="207" spans="1:29" ht="12.75">
      <c r="A207" s="38"/>
      <c r="B207" s="38"/>
      <c r="C207" s="40"/>
      <c r="D207" s="41"/>
      <c r="E207" s="40"/>
      <c r="F207" s="41"/>
      <c r="G207" s="40"/>
      <c r="H207" s="41"/>
      <c r="I207" s="39"/>
      <c r="J207" s="39"/>
      <c r="K207" s="40"/>
      <c r="L207" s="41"/>
      <c r="M207" s="38"/>
      <c r="N207" s="15"/>
      <c r="O207" s="15"/>
      <c r="P207" s="15"/>
      <c r="Q207" s="15"/>
      <c r="R207" s="16"/>
      <c r="S207" s="38"/>
      <c r="T207" s="38"/>
      <c r="U207" s="38"/>
      <c r="V207" s="38"/>
      <c r="W207" s="38"/>
      <c r="X207" s="38"/>
      <c r="Y207" s="38"/>
      <c r="Z207" s="38"/>
      <c r="AA207" s="38"/>
      <c r="AB207" s="38"/>
      <c r="AC207" s="38"/>
    </row>
    <row r="208" spans="1:29" ht="12.75">
      <c r="A208" s="38"/>
      <c r="B208" s="38"/>
      <c r="C208" s="40"/>
      <c r="D208" s="41"/>
      <c r="E208" s="40"/>
      <c r="F208" s="41"/>
      <c r="G208" s="40"/>
      <c r="H208" s="41"/>
      <c r="I208" s="39"/>
      <c r="J208" s="39"/>
      <c r="K208" s="40"/>
      <c r="L208" s="41"/>
      <c r="M208" s="38"/>
      <c r="N208" s="15"/>
      <c r="O208" s="15"/>
      <c r="P208" s="15"/>
      <c r="Q208" s="15"/>
      <c r="R208" s="16"/>
      <c r="S208" s="38"/>
      <c r="T208" s="38"/>
      <c r="U208" s="38"/>
      <c r="V208" s="38"/>
      <c r="W208" s="38"/>
      <c r="X208" s="38"/>
      <c r="Y208" s="38"/>
      <c r="Z208" s="38"/>
      <c r="AA208" s="38"/>
      <c r="AB208" s="38"/>
      <c r="AC208" s="38"/>
    </row>
    <row r="209" spans="1:29" ht="12.75">
      <c r="A209" s="38"/>
      <c r="B209" s="38"/>
      <c r="C209" s="40"/>
      <c r="D209" s="41"/>
      <c r="E209" s="40"/>
      <c r="F209" s="41"/>
      <c r="G209" s="40"/>
      <c r="H209" s="41"/>
      <c r="I209" s="39"/>
      <c r="J209" s="39"/>
      <c r="K209" s="40"/>
      <c r="L209" s="41"/>
      <c r="M209" s="38"/>
      <c r="N209" s="15"/>
      <c r="O209" s="15"/>
      <c r="P209" s="15"/>
      <c r="Q209" s="15"/>
      <c r="R209" s="16"/>
      <c r="S209" s="38"/>
      <c r="T209" s="38"/>
      <c r="U209" s="38"/>
      <c r="V209" s="38"/>
      <c r="W209" s="38"/>
      <c r="X209" s="38"/>
      <c r="Y209" s="38"/>
      <c r="Z209" s="38"/>
      <c r="AA209" s="38"/>
      <c r="AB209" s="38"/>
      <c r="AC209" s="38"/>
    </row>
    <row r="210" spans="1:29" ht="12.75">
      <c r="A210" s="38"/>
      <c r="B210" s="38"/>
      <c r="C210" s="40"/>
      <c r="D210" s="41"/>
      <c r="E210" s="40"/>
      <c r="F210" s="41"/>
      <c r="G210" s="40"/>
      <c r="H210" s="41"/>
      <c r="I210" s="39"/>
      <c r="J210" s="39"/>
      <c r="K210" s="40"/>
      <c r="L210" s="41"/>
      <c r="M210" s="38"/>
      <c r="N210" s="15"/>
      <c r="O210" s="15"/>
      <c r="P210" s="15"/>
      <c r="Q210" s="15"/>
      <c r="R210" s="16"/>
      <c r="S210" s="38"/>
      <c r="T210" s="38"/>
      <c r="U210" s="38"/>
      <c r="V210" s="38"/>
      <c r="W210" s="38"/>
      <c r="X210" s="38"/>
      <c r="Y210" s="38"/>
      <c r="Z210" s="38"/>
      <c r="AA210" s="38"/>
      <c r="AB210" s="38"/>
      <c r="AC210" s="38"/>
    </row>
    <row r="211" spans="1:29" ht="12.75">
      <c r="A211" s="38"/>
      <c r="B211" s="38"/>
      <c r="C211" s="40"/>
      <c r="D211" s="41"/>
      <c r="E211" s="40"/>
      <c r="F211" s="41"/>
      <c r="G211" s="40"/>
      <c r="H211" s="41"/>
      <c r="I211" s="39"/>
      <c r="J211" s="39"/>
      <c r="K211" s="40"/>
      <c r="L211" s="41"/>
      <c r="M211" s="38"/>
      <c r="N211" s="15"/>
      <c r="O211" s="15"/>
      <c r="P211" s="15"/>
      <c r="Q211" s="15"/>
      <c r="R211" s="16"/>
      <c r="S211" s="38"/>
      <c r="T211" s="38"/>
      <c r="U211" s="38"/>
      <c r="V211" s="38"/>
      <c r="W211" s="38"/>
      <c r="X211" s="38"/>
      <c r="Y211" s="38"/>
      <c r="Z211" s="38"/>
      <c r="AA211" s="38"/>
      <c r="AB211" s="38"/>
      <c r="AC211" s="38"/>
    </row>
    <row r="212" spans="1:29" ht="12.75">
      <c r="A212" s="38"/>
      <c r="B212" s="38"/>
      <c r="C212" s="40"/>
      <c r="D212" s="41"/>
      <c r="E212" s="40"/>
      <c r="F212" s="41"/>
      <c r="G212" s="40"/>
      <c r="H212" s="41"/>
      <c r="I212" s="39"/>
      <c r="J212" s="39"/>
      <c r="K212" s="40"/>
      <c r="L212" s="41"/>
      <c r="M212" s="38"/>
      <c r="N212" s="15"/>
      <c r="O212" s="15"/>
      <c r="P212" s="15"/>
      <c r="Q212" s="15"/>
      <c r="R212" s="16"/>
      <c r="S212" s="38"/>
      <c r="T212" s="38"/>
      <c r="U212" s="38"/>
      <c r="V212" s="38"/>
      <c r="W212" s="38"/>
      <c r="X212" s="38"/>
      <c r="Y212" s="38"/>
      <c r="Z212" s="38"/>
      <c r="AA212" s="38"/>
      <c r="AB212" s="38"/>
      <c r="AC212" s="38"/>
    </row>
    <row r="213" spans="1:29" ht="12.75">
      <c r="A213" s="38"/>
      <c r="B213" s="38"/>
      <c r="C213" s="40"/>
      <c r="D213" s="41"/>
      <c r="E213" s="40"/>
      <c r="F213" s="41"/>
      <c r="G213" s="40"/>
      <c r="H213" s="41"/>
      <c r="I213" s="39"/>
      <c r="J213" s="39"/>
      <c r="K213" s="40"/>
      <c r="L213" s="41"/>
      <c r="M213" s="38"/>
      <c r="N213" s="15"/>
      <c r="O213" s="15"/>
      <c r="P213" s="15"/>
      <c r="Q213" s="15"/>
      <c r="R213" s="16"/>
      <c r="S213" s="38"/>
      <c r="T213" s="38"/>
      <c r="U213" s="38"/>
      <c r="V213" s="38"/>
      <c r="W213" s="38"/>
      <c r="X213" s="38"/>
      <c r="Y213" s="38"/>
      <c r="Z213" s="38"/>
      <c r="AA213" s="38"/>
      <c r="AB213" s="38"/>
      <c r="AC213" s="38"/>
    </row>
    <row r="214" spans="1:29" ht="12.75">
      <c r="A214" s="38"/>
      <c r="B214" s="38"/>
      <c r="C214" s="40"/>
      <c r="D214" s="41"/>
      <c r="E214" s="40"/>
      <c r="F214" s="41"/>
      <c r="G214" s="40"/>
      <c r="H214" s="41"/>
      <c r="I214" s="39"/>
      <c r="J214" s="39"/>
      <c r="K214" s="40"/>
      <c r="L214" s="41"/>
      <c r="M214" s="38"/>
      <c r="N214" s="15"/>
      <c r="O214" s="15"/>
      <c r="P214" s="15"/>
      <c r="Q214" s="15"/>
      <c r="R214" s="16"/>
      <c r="S214" s="38"/>
      <c r="T214" s="38"/>
      <c r="U214" s="38"/>
      <c r="V214" s="38"/>
      <c r="W214" s="38"/>
      <c r="X214" s="38"/>
      <c r="Y214" s="38"/>
      <c r="Z214" s="38"/>
      <c r="AA214" s="38"/>
      <c r="AB214" s="38"/>
      <c r="AC214" s="38"/>
    </row>
    <row r="215" spans="1:29" ht="12.75">
      <c r="A215" s="38"/>
      <c r="B215" s="38"/>
      <c r="C215" s="40"/>
      <c r="D215" s="41"/>
      <c r="E215" s="40"/>
      <c r="F215" s="41"/>
      <c r="G215" s="40"/>
      <c r="H215" s="41"/>
      <c r="I215" s="39"/>
      <c r="J215" s="39"/>
      <c r="K215" s="40"/>
      <c r="L215" s="41"/>
      <c r="M215" s="38"/>
      <c r="N215" s="15"/>
      <c r="O215" s="15"/>
      <c r="P215" s="15"/>
      <c r="Q215" s="15"/>
      <c r="R215" s="16"/>
      <c r="S215" s="38"/>
      <c r="T215" s="38"/>
      <c r="U215" s="38"/>
      <c r="V215" s="38"/>
      <c r="W215" s="38"/>
      <c r="X215" s="38"/>
      <c r="Y215" s="38"/>
      <c r="Z215" s="38"/>
      <c r="AA215" s="38"/>
      <c r="AB215" s="38"/>
      <c r="AC215" s="38"/>
    </row>
    <row r="216" spans="1:29" ht="12.75">
      <c r="A216" s="38"/>
      <c r="B216" s="38"/>
      <c r="C216" s="40"/>
      <c r="D216" s="41"/>
      <c r="E216" s="40"/>
      <c r="F216" s="41"/>
      <c r="G216" s="40"/>
      <c r="H216" s="41"/>
      <c r="I216" s="39"/>
      <c r="J216" s="39"/>
      <c r="K216" s="40"/>
      <c r="L216" s="41"/>
      <c r="M216" s="38"/>
      <c r="N216" s="15"/>
      <c r="O216" s="15"/>
      <c r="P216" s="15"/>
      <c r="Q216" s="15"/>
      <c r="R216" s="16"/>
      <c r="S216" s="38"/>
      <c r="T216" s="38"/>
      <c r="U216" s="38"/>
      <c r="V216" s="38"/>
      <c r="W216" s="38"/>
      <c r="X216" s="38"/>
      <c r="Y216" s="38"/>
      <c r="Z216" s="38"/>
      <c r="AA216" s="38"/>
      <c r="AB216" s="38"/>
      <c r="AC216" s="38"/>
    </row>
    <row r="217" spans="1:29" ht="12.75">
      <c r="A217" s="38"/>
      <c r="B217" s="38"/>
      <c r="C217" s="40"/>
      <c r="D217" s="41"/>
      <c r="E217" s="40"/>
      <c r="F217" s="41"/>
      <c r="G217" s="40"/>
      <c r="H217" s="41"/>
      <c r="I217" s="39"/>
      <c r="J217" s="39"/>
      <c r="K217" s="40"/>
      <c r="L217" s="41"/>
      <c r="M217" s="38"/>
      <c r="N217" s="15"/>
      <c r="O217" s="15"/>
      <c r="P217" s="15"/>
      <c r="Q217" s="15"/>
      <c r="R217" s="16"/>
      <c r="S217" s="38"/>
      <c r="T217" s="38"/>
      <c r="U217" s="38"/>
      <c r="V217" s="38"/>
      <c r="W217" s="38"/>
      <c r="X217" s="38"/>
      <c r="Y217" s="38"/>
      <c r="Z217" s="38"/>
      <c r="AA217" s="38"/>
      <c r="AB217" s="38"/>
      <c r="AC217" s="38"/>
    </row>
    <row r="218" spans="1:29" ht="12.75">
      <c r="A218" s="38"/>
      <c r="B218" s="38"/>
      <c r="C218" s="40"/>
      <c r="D218" s="41"/>
      <c r="E218" s="40"/>
      <c r="F218" s="41"/>
      <c r="G218" s="40"/>
      <c r="H218" s="41"/>
      <c r="I218" s="39"/>
      <c r="J218" s="39"/>
      <c r="K218" s="40"/>
      <c r="L218" s="41"/>
      <c r="M218" s="38"/>
      <c r="N218" s="15"/>
      <c r="O218" s="15"/>
      <c r="P218" s="15"/>
      <c r="Q218" s="15"/>
      <c r="R218" s="16"/>
      <c r="S218" s="38"/>
      <c r="T218" s="38"/>
      <c r="U218" s="38"/>
      <c r="V218" s="38"/>
      <c r="W218" s="38"/>
      <c r="X218" s="38"/>
      <c r="Y218" s="38"/>
      <c r="Z218" s="38"/>
      <c r="AA218" s="38"/>
      <c r="AB218" s="38"/>
      <c r="AC218" s="38"/>
    </row>
    <row r="219" spans="1:29" ht="12.75">
      <c r="A219" s="38"/>
      <c r="B219" s="38"/>
      <c r="C219" s="40"/>
      <c r="D219" s="41"/>
      <c r="E219" s="40"/>
      <c r="F219" s="41"/>
      <c r="G219" s="40"/>
      <c r="H219" s="41"/>
      <c r="I219" s="39"/>
      <c r="J219" s="39"/>
      <c r="K219" s="40"/>
      <c r="L219" s="41"/>
      <c r="M219" s="38"/>
      <c r="N219" s="15"/>
      <c r="O219" s="15"/>
      <c r="P219" s="15"/>
      <c r="Q219" s="15"/>
      <c r="R219" s="16"/>
      <c r="S219" s="38"/>
      <c r="T219" s="38"/>
      <c r="U219" s="38"/>
      <c r="V219" s="38"/>
      <c r="W219" s="38"/>
      <c r="X219" s="38"/>
      <c r="Y219" s="38"/>
      <c r="Z219" s="38"/>
      <c r="AA219" s="38"/>
      <c r="AB219" s="38"/>
      <c r="AC219" s="38"/>
    </row>
    <row r="220" spans="1:29" ht="12.75">
      <c r="A220" s="38"/>
      <c r="B220" s="38"/>
      <c r="C220" s="40"/>
      <c r="D220" s="41"/>
      <c r="E220" s="40"/>
      <c r="F220" s="41"/>
      <c r="G220" s="40"/>
      <c r="H220" s="41"/>
      <c r="I220" s="39"/>
      <c r="J220" s="39"/>
      <c r="K220" s="40"/>
      <c r="L220" s="41"/>
      <c r="M220" s="38"/>
      <c r="N220" s="15"/>
      <c r="O220" s="15"/>
      <c r="P220" s="15"/>
      <c r="Q220" s="15"/>
      <c r="R220" s="16"/>
      <c r="S220" s="38"/>
      <c r="T220" s="38"/>
      <c r="U220" s="38"/>
      <c r="V220" s="38"/>
      <c r="W220" s="38"/>
      <c r="X220" s="38"/>
      <c r="Y220" s="38"/>
      <c r="Z220" s="38"/>
      <c r="AA220" s="38"/>
      <c r="AB220" s="38"/>
      <c r="AC220" s="38"/>
    </row>
    <row r="221" spans="1:29" ht="12.75">
      <c r="A221" s="38"/>
      <c r="B221" s="38"/>
      <c r="C221" s="40"/>
      <c r="D221" s="41"/>
      <c r="E221" s="40"/>
      <c r="F221" s="41"/>
      <c r="G221" s="40"/>
      <c r="H221" s="41"/>
      <c r="I221" s="39"/>
      <c r="J221" s="39"/>
      <c r="K221" s="40"/>
      <c r="L221" s="41"/>
      <c r="M221" s="38"/>
      <c r="N221" s="15"/>
      <c r="O221" s="15"/>
      <c r="P221" s="15"/>
      <c r="Q221" s="15"/>
      <c r="R221" s="16"/>
      <c r="S221" s="38"/>
      <c r="T221" s="38"/>
      <c r="U221" s="38"/>
      <c r="V221" s="38"/>
      <c r="W221" s="38"/>
      <c r="X221" s="38"/>
      <c r="Y221" s="38"/>
      <c r="Z221" s="38"/>
      <c r="AA221" s="38"/>
      <c r="AB221" s="38"/>
      <c r="AC221" s="38"/>
    </row>
    <row r="222" spans="1:29" ht="12.75">
      <c r="A222" s="38"/>
      <c r="B222" s="38"/>
      <c r="C222" s="40"/>
      <c r="D222" s="41"/>
      <c r="E222" s="40"/>
      <c r="F222" s="41"/>
      <c r="G222" s="40"/>
      <c r="H222" s="41"/>
      <c r="I222" s="39"/>
      <c r="J222" s="39"/>
      <c r="K222" s="40"/>
      <c r="L222" s="41"/>
      <c r="M222" s="38"/>
      <c r="N222" s="15"/>
      <c r="O222" s="15"/>
      <c r="P222" s="15"/>
      <c r="Q222" s="15"/>
      <c r="R222" s="16"/>
      <c r="S222" s="38"/>
      <c r="T222" s="38"/>
      <c r="U222" s="38"/>
      <c r="V222" s="38"/>
      <c r="W222" s="38"/>
      <c r="X222" s="38"/>
      <c r="Y222" s="38"/>
      <c r="Z222" s="38"/>
      <c r="AA222" s="38"/>
      <c r="AB222" s="38"/>
      <c r="AC222" s="38"/>
    </row>
    <row r="223" spans="1:29" ht="12.75">
      <c r="A223" s="38"/>
      <c r="B223" s="38"/>
      <c r="C223" s="40"/>
      <c r="D223" s="41"/>
      <c r="E223" s="40"/>
      <c r="F223" s="41"/>
      <c r="G223" s="40"/>
      <c r="H223" s="41"/>
      <c r="I223" s="39"/>
      <c r="J223" s="39"/>
      <c r="K223" s="40"/>
      <c r="L223" s="41"/>
      <c r="M223" s="38"/>
      <c r="N223" s="15"/>
      <c r="O223" s="15"/>
      <c r="P223" s="15"/>
      <c r="Q223" s="15"/>
      <c r="R223" s="16"/>
      <c r="S223" s="38"/>
      <c r="T223" s="38"/>
      <c r="U223" s="38"/>
      <c r="V223" s="38"/>
      <c r="W223" s="38"/>
      <c r="X223" s="38"/>
      <c r="Y223" s="38"/>
      <c r="Z223" s="38"/>
      <c r="AA223" s="38"/>
      <c r="AB223" s="38"/>
      <c r="AC223" s="38"/>
    </row>
    <row r="224" spans="1:29" ht="12.75">
      <c r="A224" s="38"/>
      <c r="B224" s="38"/>
      <c r="C224" s="40"/>
      <c r="D224" s="41"/>
      <c r="E224" s="40"/>
      <c r="F224" s="41"/>
      <c r="G224" s="40"/>
      <c r="H224" s="41"/>
      <c r="I224" s="39"/>
      <c r="J224" s="39"/>
      <c r="K224" s="40"/>
      <c r="L224" s="41"/>
      <c r="M224" s="38"/>
      <c r="N224" s="15"/>
      <c r="O224" s="15"/>
      <c r="P224" s="15"/>
      <c r="Q224" s="15"/>
      <c r="R224" s="16"/>
      <c r="S224" s="38"/>
      <c r="T224" s="38"/>
      <c r="U224" s="38"/>
      <c r="V224" s="38"/>
      <c r="W224" s="38"/>
      <c r="X224" s="38"/>
      <c r="Y224" s="38"/>
      <c r="Z224" s="38"/>
      <c r="AA224" s="38"/>
      <c r="AB224" s="38"/>
      <c r="AC224" s="38"/>
    </row>
    <row r="225" spans="1:29" ht="12.75">
      <c r="A225" s="38"/>
      <c r="B225" s="38"/>
      <c r="C225" s="40"/>
      <c r="D225" s="41"/>
      <c r="E225" s="40"/>
      <c r="F225" s="41"/>
      <c r="G225" s="40"/>
      <c r="H225" s="41"/>
      <c r="I225" s="39"/>
      <c r="J225" s="39"/>
      <c r="K225" s="40"/>
      <c r="L225" s="41"/>
      <c r="M225" s="38"/>
      <c r="N225" s="15"/>
      <c r="O225" s="15"/>
      <c r="P225" s="15"/>
      <c r="Q225" s="15"/>
      <c r="R225" s="16"/>
      <c r="S225" s="38"/>
      <c r="T225" s="38"/>
      <c r="U225" s="38"/>
      <c r="V225" s="38"/>
      <c r="W225" s="38"/>
      <c r="X225" s="38"/>
      <c r="Y225" s="38"/>
      <c r="Z225" s="38"/>
      <c r="AA225" s="38"/>
      <c r="AB225" s="38"/>
      <c r="AC225" s="38"/>
    </row>
    <row r="226" spans="1:29" ht="12.75">
      <c r="A226" s="38"/>
      <c r="B226" s="38"/>
      <c r="C226" s="40"/>
      <c r="D226" s="41"/>
      <c r="E226" s="40"/>
      <c r="F226" s="41"/>
      <c r="G226" s="40"/>
      <c r="H226" s="41"/>
      <c r="I226" s="39"/>
      <c r="J226" s="39"/>
      <c r="K226" s="40"/>
      <c r="L226" s="41"/>
      <c r="M226" s="38"/>
      <c r="N226" s="15"/>
      <c r="O226" s="15"/>
      <c r="P226" s="15"/>
      <c r="Q226" s="15"/>
      <c r="R226" s="16"/>
      <c r="S226" s="38"/>
      <c r="T226" s="38"/>
      <c r="U226" s="38"/>
      <c r="V226" s="38"/>
      <c r="W226" s="38"/>
      <c r="X226" s="38"/>
      <c r="Y226" s="38"/>
      <c r="Z226" s="38"/>
      <c r="AA226" s="38"/>
      <c r="AB226" s="38"/>
      <c r="AC226" s="38"/>
    </row>
    <row r="227" spans="1:29" ht="12.75">
      <c r="A227" s="38"/>
      <c r="B227" s="38"/>
      <c r="C227" s="40"/>
      <c r="D227" s="41"/>
      <c r="E227" s="40"/>
      <c r="F227" s="41"/>
      <c r="G227" s="40"/>
      <c r="H227" s="41"/>
      <c r="I227" s="39"/>
      <c r="J227" s="39"/>
      <c r="K227" s="40"/>
      <c r="L227" s="41"/>
      <c r="M227" s="38"/>
      <c r="N227" s="15"/>
      <c r="O227" s="15"/>
      <c r="P227" s="15"/>
      <c r="Q227" s="15"/>
      <c r="R227" s="16"/>
      <c r="S227" s="38"/>
      <c r="T227" s="38"/>
      <c r="U227" s="38"/>
      <c r="V227" s="38"/>
      <c r="W227" s="38"/>
      <c r="X227" s="38"/>
      <c r="Y227" s="38"/>
      <c r="Z227" s="38"/>
      <c r="AA227" s="38"/>
      <c r="AB227" s="38"/>
      <c r="AC227" s="38"/>
    </row>
    <row r="228" spans="1:29" ht="12.75">
      <c r="A228" s="38"/>
      <c r="B228" s="38"/>
      <c r="C228" s="40"/>
      <c r="D228" s="41"/>
      <c r="E228" s="40"/>
      <c r="F228" s="41"/>
      <c r="G228" s="40"/>
      <c r="H228" s="41"/>
      <c r="I228" s="39"/>
      <c r="J228" s="39"/>
      <c r="K228" s="40"/>
      <c r="L228" s="41"/>
      <c r="M228" s="38"/>
      <c r="N228" s="15"/>
      <c r="O228" s="15"/>
      <c r="P228" s="15"/>
      <c r="Q228" s="15"/>
      <c r="R228" s="16"/>
      <c r="S228" s="38"/>
      <c r="T228" s="38"/>
      <c r="U228" s="38"/>
      <c r="V228" s="38"/>
      <c r="W228" s="38"/>
      <c r="X228" s="38"/>
      <c r="Y228" s="38"/>
      <c r="Z228" s="38"/>
      <c r="AA228" s="38"/>
      <c r="AB228" s="38"/>
      <c r="AC228" s="38"/>
    </row>
    <row r="229" spans="1:29" ht="12.75">
      <c r="A229" s="38"/>
      <c r="B229" s="38"/>
      <c r="C229" s="40"/>
      <c r="D229" s="41"/>
      <c r="E229" s="40"/>
      <c r="F229" s="41"/>
      <c r="G229" s="40"/>
      <c r="H229" s="41"/>
      <c r="I229" s="39"/>
      <c r="J229" s="39"/>
      <c r="K229" s="40"/>
      <c r="L229" s="41"/>
      <c r="M229" s="38"/>
      <c r="N229" s="15"/>
      <c r="O229" s="15"/>
      <c r="P229" s="15"/>
      <c r="Q229" s="15"/>
      <c r="R229" s="16"/>
      <c r="S229" s="38"/>
      <c r="T229" s="38"/>
      <c r="U229" s="38"/>
      <c r="V229" s="38"/>
      <c r="W229" s="38"/>
      <c r="X229" s="38"/>
      <c r="Y229" s="38"/>
      <c r="Z229" s="38"/>
      <c r="AA229" s="38"/>
      <c r="AB229" s="38"/>
      <c r="AC229" s="38"/>
    </row>
    <row r="230" spans="1:29" ht="12.75">
      <c r="A230" s="38"/>
      <c r="B230" s="38"/>
      <c r="C230" s="40"/>
      <c r="D230" s="41"/>
      <c r="E230" s="40"/>
      <c r="F230" s="41"/>
      <c r="G230" s="40"/>
      <c r="H230" s="41"/>
      <c r="I230" s="39"/>
      <c r="J230" s="39"/>
      <c r="K230" s="40"/>
      <c r="L230" s="41"/>
      <c r="M230" s="38"/>
      <c r="N230" s="15"/>
      <c r="O230" s="15"/>
      <c r="P230" s="15"/>
      <c r="Q230" s="15"/>
      <c r="R230" s="16"/>
      <c r="S230" s="38"/>
      <c r="T230" s="38"/>
      <c r="U230" s="38"/>
      <c r="V230" s="38"/>
      <c r="W230" s="38"/>
      <c r="X230" s="38"/>
      <c r="Y230" s="38"/>
      <c r="Z230" s="38"/>
      <c r="AA230" s="38"/>
      <c r="AB230" s="38"/>
      <c r="AC230" s="38"/>
    </row>
    <row r="231" spans="1:29" ht="12.75">
      <c r="A231" s="38"/>
      <c r="B231" s="38"/>
      <c r="C231" s="40"/>
      <c r="D231" s="41"/>
      <c r="E231" s="40"/>
      <c r="F231" s="41"/>
      <c r="G231" s="40"/>
      <c r="H231" s="41"/>
      <c r="I231" s="39"/>
      <c r="J231" s="39"/>
      <c r="K231" s="40"/>
      <c r="L231" s="41"/>
      <c r="M231" s="38"/>
      <c r="N231" s="15"/>
      <c r="O231" s="15"/>
      <c r="P231" s="15"/>
      <c r="Q231" s="15"/>
      <c r="R231" s="16"/>
      <c r="S231" s="38"/>
      <c r="T231" s="38"/>
      <c r="U231" s="38"/>
      <c r="V231" s="38"/>
      <c r="W231" s="38"/>
      <c r="X231" s="38"/>
      <c r="Y231" s="38"/>
      <c r="Z231" s="38"/>
      <c r="AA231" s="38"/>
      <c r="AB231" s="38"/>
      <c r="AC231" s="38"/>
    </row>
    <row r="232" spans="1:29" ht="12.75">
      <c r="A232" s="38"/>
      <c r="B232" s="38"/>
      <c r="C232" s="40"/>
      <c r="D232" s="41"/>
      <c r="E232" s="40"/>
      <c r="F232" s="41"/>
      <c r="G232" s="40"/>
      <c r="H232" s="41"/>
      <c r="I232" s="39"/>
      <c r="J232" s="39"/>
      <c r="K232" s="40"/>
      <c r="L232" s="41"/>
      <c r="M232" s="38"/>
      <c r="N232" s="15"/>
      <c r="O232" s="15"/>
      <c r="P232" s="15"/>
      <c r="Q232" s="15"/>
      <c r="R232" s="16"/>
      <c r="S232" s="38"/>
      <c r="T232" s="38"/>
      <c r="U232" s="38"/>
      <c r="V232" s="38"/>
      <c r="W232" s="38"/>
      <c r="X232" s="38"/>
      <c r="Y232" s="38"/>
      <c r="Z232" s="38"/>
      <c r="AA232" s="38"/>
      <c r="AB232" s="38"/>
      <c r="AC232" s="38"/>
    </row>
    <row r="233" spans="1:29" ht="12.75">
      <c r="A233" s="38"/>
      <c r="B233" s="38"/>
      <c r="C233" s="40"/>
      <c r="D233" s="41"/>
      <c r="E233" s="40"/>
      <c r="F233" s="41"/>
      <c r="G233" s="40"/>
      <c r="H233" s="41"/>
      <c r="I233" s="39"/>
      <c r="J233" s="39"/>
      <c r="K233" s="40"/>
      <c r="L233" s="41"/>
      <c r="M233" s="38"/>
      <c r="N233" s="15"/>
      <c r="O233" s="15"/>
      <c r="P233" s="15"/>
      <c r="Q233" s="15"/>
      <c r="R233" s="16"/>
      <c r="S233" s="38"/>
      <c r="T233" s="38"/>
      <c r="U233" s="38"/>
      <c r="V233" s="38"/>
      <c r="W233" s="38"/>
      <c r="X233" s="38"/>
      <c r="Y233" s="38"/>
      <c r="Z233" s="38"/>
      <c r="AA233" s="38"/>
      <c r="AB233" s="38"/>
      <c r="AC233" s="38"/>
    </row>
    <row r="234" spans="1:29" ht="12.75">
      <c r="A234" s="38"/>
      <c r="B234" s="38"/>
      <c r="C234" s="40"/>
      <c r="D234" s="41"/>
      <c r="E234" s="40"/>
      <c r="F234" s="41"/>
      <c r="G234" s="40"/>
      <c r="H234" s="41"/>
      <c r="I234" s="39"/>
      <c r="J234" s="39"/>
      <c r="K234" s="40"/>
      <c r="L234" s="41"/>
      <c r="M234" s="38"/>
      <c r="N234" s="15"/>
      <c r="O234" s="15"/>
      <c r="P234" s="15"/>
      <c r="Q234" s="15"/>
      <c r="R234" s="16"/>
      <c r="S234" s="38"/>
      <c r="T234" s="38"/>
      <c r="U234" s="38"/>
      <c r="V234" s="38"/>
      <c r="W234" s="38"/>
      <c r="X234" s="38"/>
      <c r="Y234" s="38"/>
      <c r="Z234" s="38"/>
      <c r="AA234" s="38"/>
      <c r="AB234" s="38"/>
      <c r="AC234" s="38"/>
    </row>
    <row r="235" spans="1:29" ht="12.75">
      <c r="A235" s="38"/>
      <c r="B235" s="38"/>
      <c r="C235" s="40"/>
      <c r="D235" s="41"/>
      <c r="E235" s="40"/>
      <c r="F235" s="41"/>
      <c r="G235" s="40"/>
      <c r="H235" s="41"/>
      <c r="I235" s="39"/>
      <c r="J235" s="39"/>
      <c r="K235" s="40"/>
      <c r="L235" s="41"/>
      <c r="M235" s="38"/>
      <c r="N235" s="15"/>
      <c r="O235" s="15"/>
      <c r="P235" s="15"/>
      <c r="Q235" s="15"/>
      <c r="R235" s="16"/>
      <c r="S235" s="38"/>
      <c r="T235" s="38"/>
      <c r="U235" s="38"/>
      <c r="V235" s="38"/>
      <c r="W235" s="38"/>
      <c r="X235" s="38"/>
      <c r="Y235" s="38"/>
      <c r="Z235" s="38"/>
      <c r="AA235" s="38"/>
      <c r="AB235" s="38"/>
      <c r="AC235" s="38"/>
    </row>
    <row r="236" spans="1:29" ht="12.75">
      <c r="A236" s="38"/>
      <c r="B236" s="38"/>
      <c r="C236" s="40"/>
      <c r="D236" s="41"/>
      <c r="E236" s="40"/>
      <c r="F236" s="41"/>
      <c r="G236" s="40"/>
      <c r="H236" s="41"/>
      <c r="I236" s="39"/>
      <c r="J236" s="39"/>
      <c r="K236" s="40"/>
      <c r="L236" s="41"/>
      <c r="M236" s="38"/>
      <c r="N236" s="15"/>
      <c r="O236" s="15"/>
      <c r="P236" s="15"/>
      <c r="Q236" s="15"/>
      <c r="R236" s="16"/>
      <c r="S236" s="38"/>
      <c r="T236" s="38"/>
      <c r="U236" s="38"/>
      <c r="V236" s="38"/>
      <c r="W236" s="38"/>
      <c r="X236" s="38"/>
      <c r="Y236" s="38"/>
      <c r="Z236" s="38"/>
      <c r="AA236" s="38"/>
      <c r="AB236" s="38"/>
      <c r="AC236" s="38"/>
    </row>
    <row r="237" spans="1:29" ht="12.75">
      <c r="A237" s="38"/>
      <c r="B237" s="38"/>
      <c r="C237" s="40"/>
      <c r="D237" s="41"/>
      <c r="E237" s="40"/>
      <c r="F237" s="41"/>
      <c r="G237" s="40"/>
      <c r="H237" s="41"/>
      <c r="I237" s="39"/>
      <c r="J237" s="39"/>
      <c r="K237" s="40"/>
      <c r="L237" s="41"/>
      <c r="M237" s="38"/>
      <c r="N237" s="15"/>
      <c r="O237" s="15"/>
      <c r="P237" s="15"/>
      <c r="Q237" s="15"/>
      <c r="R237" s="16"/>
      <c r="S237" s="38"/>
      <c r="T237" s="38"/>
      <c r="U237" s="38"/>
      <c r="V237" s="38"/>
      <c r="W237" s="38"/>
      <c r="X237" s="38"/>
      <c r="Y237" s="38"/>
      <c r="Z237" s="38"/>
      <c r="AA237" s="38"/>
      <c r="AB237" s="38"/>
      <c r="AC237" s="38"/>
    </row>
    <row r="238" spans="1:29" ht="12.75">
      <c r="A238" s="38"/>
      <c r="B238" s="38"/>
      <c r="C238" s="40"/>
      <c r="D238" s="41"/>
      <c r="E238" s="40"/>
      <c r="F238" s="41"/>
      <c r="G238" s="40"/>
      <c r="H238" s="41"/>
      <c r="I238" s="39"/>
      <c r="J238" s="39"/>
      <c r="K238" s="40"/>
      <c r="L238" s="41"/>
      <c r="M238" s="38"/>
      <c r="N238" s="15"/>
      <c r="O238" s="15"/>
      <c r="P238" s="15"/>
      <c r="Q238" s="15"/>
      <c r="R238" s="16"/>
      <c r="S238" s="38"/>
      <c r="T238" s="38"/>
      <c r="U238" s="38"/>
      <c r="V238" s="38"/>
      <c r="W238" s="38"/>
      <c r="X238" s="38"/>
      <c r="Y238" s="38"/>
      <c r="Z238" s="38"/>
      <c r="AA238" s="38"/>
      <c r="AB238" s="38"/>
      <c r="AC238" s="38"/>
    </row>
    <row r="239" spans="1:29" ht="12.75">
      <c r="A239" s="38"/>
      <c r="B239" s="38"/>
      <c r="C239" s="40"/>
      <c r="D239" s="41"/>
      <c r="E239" s="40"/>
      <c r="F239" s="41"/>
      <c r="G239" s="40"/>
      <c r="H239" s="41"/>
      <c r="I239" s="39"/>
      <c r="J239" s="39"/>
      <c r="K239" s="40"/>
      <c r="L239" s="41"/>
      <c r="M239" s="38"/>
      <c r="N239" s="15"/>
      <c r="O239" s="15"/>
      <c r="P239" s="15"/>
      <c r="Q239" s="15"/>
      <c r="R239" s="16"/>
      <c r="S239" s="38"/>
      <c r="T239" s="38"/>
      <c r="U239" s="38"/>
      <c r="V239" s="38"/>
      <c r="W239" s="38"/>
      <c r="X239" s="38"/>
      <c r="Y239" s="38"/>
      <c r="Z239" s="38"/>
      <c r="AA239" s="38"/>
      <c r="AB239" s="38"/>
      <c r="AC239" s="38"/>
    </row>
    <row r="240" spans="1:29" ht="12.75">
      <c r="A240" s="38"/>
      <c r="B240" s="38"/>
      <c r="C240" s="40"/>
      <c r="D240" s="41"/>
      <c r="E240" s="40"/>
      <c r="F240" s="41"/>
      <c r="G240" s="40"/>
      <c r="H240" s="41"/>
      <c r="I240" s="39"/>
      <c r="J240" s="39"/>
      <c r="K240" s="40"/>
      <c r="L240" s="41"/>
      <c r="M240" s="38"/>
      <c r="N240" s="15"/>
      <c r="O240" s="15"/>
      <c r="P240" s="15"/>
      <c r="Q240" s="15"/>
      <c r="R240" s="16"/>
      <c r="S240" s="38"/>
      <c r="T240" s="38"/>
      <c r="U240" s="38"/>
      <c r="V240" s="38"/>
      <c r="W240" s="38"/>
      <c r="X240" s="38"/>
      <c r="Y240" s="38"/>
      <c r="Z240" s="38"/>
      <c r="AA240" s="38"/>
      <c r="AB240" s="38"/>
      <c r="AC240" s="38"/>
    </row>
    <row r="241" spans="1:29" ht="12.75">
      <c r="A241" s="38"/>
      <c r="B241" s="38"/>
      <c r="C241" s="40"/>
      <c r="D241" s="41"/>
      <c r="E241" s="40"/>
      <c r="F241" s="41"/>
      <c r="G241" s="40"/>
      <c r="H241" s="41"/>
      <c r="I241" s="39"/>
      <c r="J241" s="39"/>
      <c r="K241" s="40"/>
      <c r="L241" s="41"/>
      <c r="M241" s="38"/>
      <c r="N241" s="15"/>
      <c r="O241" s="15"/>
      <c r="P241" s="15"/>
      <c r="Q241" s="15"/>
      <c r="R241" s="16"/>
      <c r="S241" s="38"/>
      <c r="T241" s="38"/>
      <c r="U241" s="38"/>
      <c r="V241" s="38"/>
      <c r="W241" s="38"/>
      <c r="X241" s="38"/>
      <c r="Y241" s="38"/>
      <c r="Z241" s="38"/>
      <c r="AA241" s="38"/>
      <c r="AB241" s="38"/>
      <c r="AC241" s="38"/>
    </row>
    <row r="242" spans="1:29" ht="12.75">
      <c r="A242" s="38"/>
      <c r="B242" s="38"/>
      <c r="C242" s="40"/>
      <c r="D242" s="41"/>
      <c r="E242" s="40"/>
      <c r="F242" s="41"/>
      <c r="G242" s="40"/>
      <c r="H242" s="41"/>
      <c r="I242" s="39"/>
      <c r="J242" s="39"/>
      <c r="K242" s="40"/>
      <c r="L242" s="41"/>
      <c r="M242" s="38"/>
      <c r="N242" s="15"/>
      <c r="O242" s="15"/>
      <c r="P242" s="15"/>
      <c r="Q242" s="15"/>
      <c r="R242" s="16"/>
      <c r="S242" s="38"/>
      <c r="T242" s="38"/>
      <c r="U242" s="38"/>
      <c r="V242" s="38"/>
      <c r="W242" s="38"/>
      <c r="X242" s="38"/>
      <c r="Y242" s="38"/>
      <c r="Z242" s="38"/>
      <c r="AA242" s="38"/>
      <c r="AB242" s="38"/>
      <c r="AC242" s="38"/>
    </row>
    <row r="243" spans="1:29" ht="12.75">
      <c r="A243" s="38"/>
      <c r="B243" s="38"/>
      <c r="C243" s="40"/>
      <c r="D243" s="41"/>
      <c r="E243" s="40"/>
      <c r="F243" s="41"/>
      <c r="G243" s="40"/>
      <c r="H243" s="41"/>
      <c r="I243" s="39"/>
      <c r="J243" s="39"/>
      <c r="K243" s="40"/>
      <c r="L243" s="41"/>
      <c r="M243" s="38"/>
      <c r="N243" s="15"/>
      <c r="O243" s="15"/>
      <c r="P243" s="15"/>
      <c r="Q243" s="15"/>
      <c r="R243" s="16"/>
      <c r="S243" s="38"/>
      <c r="T243" s="38"/>
      <c r="U243" s="38"/>
      <c r="V243" s="38"/>
      <c r="W243" s="38"/>
      <c r="X243" s="38"/>
      <c r="Y243" s="38"/>
      <c r="Z243" s="38"/>
      <c r="AA243" s="38"/>
      <c r="AB243" s="38"/>
      <c r="AC243" s="38"/>
    </row>
    <row r="244" spans="1:29" ht="12.75">
      <c r="A244" s="38"/>
      <c r="B244" s="38"/>
      <c r="C244" s="40"/>
      <c r="D244" s="41"/>
      <c r="E244" s="40"/>
      <c r="F244" s="41"/>
      <c r="G244" s="40"/>
      <c r="H244" s="41"/>
      <c r="I244" s="39"/>
      <c r="J244" s="39"/>
      <c r="K244" s="40"/>
      <c r="L244" s="41"/>
      <c r="M244" s="38"/>
      <c r="N244" s="15"/>
      <c r="O244" s="15"/>
      <c r="P244" s="15"/>
      <c r="Q244" s="15"/>
      <c r="R244" s="16"/>
      <c r="S244" s="38"/>
      <c r="T244" s="38"/>
      <c r="U244" s="38"/>
      <c r="V244" s="38"/>
      <c r="W244" s="38"/>
      <c r="X244" s="38"/>
      <c r="Y244" s="38"/>
      <c r="Z244" s="38"/>
      <c r="AA244" s="38"/>
      <c r="AB244" s="38"/>
      <c r="AC244" s="38"/>
    </row>
    <row r="245" spans="1:29" ht="12.75">
      <c r="A245" s="38"/>
      <c r="B245" s="38"/>
      <c r="C245" s="40"/>
      <c r="D245" s="41"/>
      <c r="E245" s="40"/>
      <c r="F245" s="41"/>
      <c r="G245" s="40"/>
      <c r="H245" s="41"/>
      <c r="I245" s="39"/>
      <c r="J245" s="39"/>
      <c r="K245" s="40"/>
      <c r="L245" s="41"/>
      <c r="M245" s="38"/>
      <c r="N245" s="15"/>
      <c r="O245" s="15"/>
      <c r="P245" s="15"/>
      <c r="Q245" s="15"/>
      <c r="R245" s="16"/>
      <c r="S245" s="38"/>
      <c r="T245" s="38"/>
      <c r="U245" s="38"/>
      <c r="V245" s="38"/>
      <c r="W245" s="38"/>
      <c r="X245" s="38"/>
      <c r="Y245" s="38"/>
      <c r="Z245" s="38"/>
      <c r="AA245" s="38"/>
      <c r="AB245" s="38"/>
      <c r="AC245" s="38"/>
    </row>
    <row r="246" spans="1:29" ht="12.75">
      <c r="A246" s="38"/>
      <c r="B246" s="38"/>
      <c r="C246" s="40"/>
      <c r="D246" s="41"/>
      <c r="E246" s="40"/>
      <c r="F246" s="41"/>
      <c r="G246" s="40"/>
      <c r="H246" s="41"/>
      <c r="I246" s="39"/>
      <c r="J246" s="39"/>
      <c r="K246" s="40"/>
      <c r="L246" s="41"/>
      <c r="M246" s="38"/>
      <c r="N246" s="15"/>
      <c r="O246" s="15"/>
      <c r="P246" s="15"/>
      <c r="Q246" s="15"/>
      <c r="R246" s="16"/>
      <c r="S246" s="38"/>
      <c r="T246" s="38"/>
      <c r="U246" s="38"/>
      <c r="V246" s="38"/>
      <c r="W246" s="38"/>
      <c r="X246" s="38"/>
      <c r="Y246" s="38"/>
      <c r="Z246" s="38"/>
      <c r="AA246" s="38"/>
      <c r="AB246" s="38"/>
      <c r="AC246" s="38"/>
    </row>
    <row r="247" spans="1:29" ht="12.75">
      <c r="A247" s="38"/>
      <c r="B247" s="38"/>
      <c r="C247" s="40"/>
      <c r="D247" s="41"/>
      <c r="E247" s="40"/>
      <c r="F247" s="41"/>
      <c r="G247" s="40"/>
      <c r="H247" s="41"/>
      <c r="I247" s="39"/>
      <c r="J247" s="39"/>
      <c r="K247" s="40"/>
      <c r="L247" s="41"/>
      <c r="M247" s="38"/>
      <c r="N247" s="15"/>
      <c r="O247" s="15"/>
      <c r="P247" s="15"/>
      <c r="Q247" s="15"/>
      <c r="R247" s="16"/>
      <c r="S247" s="38"/>
      <c r="T247" s="38"/>
      <c r="U247" s="38"/>
      <c r="V247" s="38"/>
      <c r="W247" s="38"/>
      <c r="X247" s="38"/>
      <c r="Y247" s="38"/>
      <c r="Z247" s="38"/>
      <c r="AA247" s="38"/>
      <c r="AB247" s="38"/>
      <c r="AC247" s="38"/>
    </row>
    <row r="248" spans="1:29" ht="12.75">
      <c r="A248" s="38"/>
      <c r="B248" s="38"/>
      <c r="C248" s="40"/>
      <c r="D248" s="41"/>
      <c r="E248" s="40"/>
      <c r="F248" s="41"/>
      <c r="G248" s="40"/>
      <c r="H248" s="41"/>
      <c r="I248" s="39"/>
      <c r="J248" s="39"/>
      <c r="K248" s="40"/>
      <c r="L248" s="41"/>
      <c r="M248" s="38"/>
      <c r="N248" s="15"/>
      <c r="O248" s="15"/>
      <c r="P248" s="15"/>
      <c r="Q248" s="15"/>
      <c r="R248" s="16"/>
      <c r="S248" s="38"/>
      <c r="T248" s="38"/>
      <c r="U248" s="38"/>
      <c r="V248" s="38"/>
      <c r="W248" s="38"/>
      <c r="X248" s="38"/>
      <c r="Y248" s="38"/>
      <c r="Z248" s="38"/>
      <c r="AA248" s="38"/>
      <c r="AB248" s="38"/>
      <c r="AC248" s="38"/>
    </row>
    <row r="249" spans="1:29" ht="12.75">
      <c r="A249" s="38"/>
      <c r="B249" s="38"/>
      <c r="C249" s="40"/>
      <c r="D249" s="41"/>
      <c r="E249" s="40"/>
      <c r="F249" s="41"/>
      <c r="G249" s="40"/>
      <c r="H249" s="41"/>
      <c r="I249" s="39"/>
      <c r="J249" s="39"/>
      <c r="K249" s="40"/>
      <c r="L249" s="41"/>
      <c r="M249" s="38"/>
      <c r="N249" s="15"/>
      <c r="O249" s="15"/>
      <c r="P249" s="15"/>
      <c r="Q249" s="15"/>
      <c r="R249" s="16"/>
      <c r="S249" s="38"/>
      <c r="T249" s="38"/>
      <c r="U249" s="38"/>
      <c r="V249" s="38"/>
      <c r="W249" s="38"/>
      <c r="X249" s="38"/>
      <c r="Y249" s="38"/>
      <c r="Z249" s="38"/>
      <c r="AA249" s="38"/>
      <c r="AB249" s="38"/>
      <c r="AC249" s="38"/>
    </row>
    <row r="250" spans="1:29" ht="12.75">
      <c r="A250" s="38"/>
      <c r="B250" s="38"/>
      <c r="C250" s="40"/>
      <c r="D250" s="41"/>
      <c r="E250" s="40"/>
      <c r="F250" s="41"/>
      <c r="G250" s="40"/>
      <c r="H250" s="41"/>
      <c r="I250" s="39"/>
      <c r="J250" s="39"/>
      <c r="K250" s="40"/>
      <c r="L250" s="41"/>
      <c r="M250" s="38"/>
      <c r="N250" s="15"/>
      <c r="O250" s="15"/>
      <c r="P250" s="15"/>
      <c r="Q250" s="15"/>
      <c r="R250" s="16"/>
      <c r="S250" s="38"/>
      <c r="T250" s="38"/>
      <c r="U250" s="38"/>
      <c r="V250" s="38"/>
      <c r="W250" s="38"/>
      <c r="X250" s="38"/>
      <c r="Y250" s="38"/>
      <c r="Z250" s="38"/>
      <c r="AA250" s="38"/>
      <c r="AB250" s="38"/>
      <c r="AC250" s="38"/>
    </row>
    <row r="251" spans="1:29" ht="12.75">
      <c r="A251" s="38"/>
      <c r="B251" s="38"/>
      <c r="C251" s="40"/>
      <c r="D251" s="41"/>
      <c r="E251" s="40"/>
      <c r="F251" s="41"/>
      <c r="G251" s="40"/>
      <c r="H251" s="41"/>
      <c r="I251" s="39"/>
      <c r="J251" s="39"/>
      <c r="K251" s="40"/>
      <c r="L251" s="41"/>
      <c r="M251" s="38"/>
      <c r="N251" s="15"/>
      <c r="O251" s="15"/>
      <c r="P251" s="15"/>
      <c r="Q251" s="15"/>
      <c r="R251" s="16"/>
      <c r="S251" s="38"/>
      <c r="T251" s="38"/>
      <c r="U251" s="38"/>
      <c r="V251" s="38"/>
      <c r="W251" s="38"/>
      <c r="X251" s="38"/>
      <c r="Y251" s="38"/>
      <c r="Z251" s="38"/>
      <c r="AA251" s="38"/>
      <c r="AB251" s="38"/>
      <c r="AC251" s="38"/>
    </row>
    <row r="252" spans="1:29" ht="12.75">
      <c r="A252" s="38"/>
      <c r="B252" s="38"/>
      <c r="C252" s="40"/>
      <c r="D252" s="41"/>
      <c r="E252" s="40"/>
      <c r="F252" s="41"/>
      <c r="G252" s="40"/>
      <c r="H252" s="41"/>
      <c r="I252" s="39"/>
      <c r="J252" s="39"/>
      <c r="K252" s="40"/>
      <c r="L252" s="41"/>
      <c r="M252" s="38"/>
      <c r="N252" s="15"/>
      <c r="O252" s="15"/>
      <c r="P252" s="15"/>
      <c r="Q252" s="15"/>
      <c r="R252" s="16"/>
      <c r="S252" s="38"/>
      <c r="T252" s="38"/>
      <c r="U252" s="38"/>
      <c r="V252" s="38"/>
      <c r="W252" s="38"/>
      <c r="X252" s="38"/>
      <c r="Y252" s="38"/>
      <c r="Z252" s="38"/>
      <c r="AA252" s="38"/>
      <c r="AB252" s="38"/>
      <c r="AC252" s="38"/>
    </row>
    <row r="253" spans="1:29" ht="12.75">
      <c r="A253" s="38"/>
      <c r="B253" s="38"/>
      <c r="C253" s="40"/>
      <c r="D253" s="41"/>
      <c r="E253" s="40"/>
      <c r="F253" s="41"/>
      <c r="G253" s="40"/>
      <c r="H253" s="41"/>
      <c r="I253" s="39"/>
      <c r="J253" s="39"/>
      <c r="K253" s="40"/>
      <c r="L253" s="41"/>
      <c r="M253" s="38"/>
      <c r="N253" s="15"/>
      <c r="O253" s="15"/>
      <c r="P253" s="15"/>
      <c r="Q253" s="15"/>
      <c r="R253" s="16"/>
      <c r="S253" s="38"/>
      <c r="T253" s="38"/>
      <c r="U253" s="38"/>
      <c r="V253" s="38"/>
      <c r="W253" s="38"/>
      <c r="X253" s="38"/>
      <c r="Y253" s="38"/>
      <c r="Z253" s="38"/>
      <c r="AA253" s="38"/>
      <c r="AB253" s="38"/>
      <c r="AC253" s="38"/>
    </row>
    <row r="254" spans="1:29" ht="12.75">
      <c r="A254" s="38"/>
      <c r="B254" s="38"/>
      <c r="C254" s="40"/>
      <c r="D254" s="41"/>
      <c r="E254" s="40"/>
      <c r="F254" s="41"/>
      <c r="G254" s="40"/>
      <c r="H254" s="41"/>
      <c r="I254" s="39"/>
      <c r="J254" s="39"/>
      <c r="K254" s="40"/>
      <c r="L254" s="41"/>
      <c r="M254" s="38"/>
      <c r="N254" s="15"/>
      <c r="O254" s="15"/>
      <c r="P254" s="15"/>
      <c r="Q254" s="15"/>
      <c r="R254" s="16"/>
      <c r="S254" s="38"/>
      <c r="T254" s="38"/>
      <c r="U254" s="38"/>
      <c r="V254" s="38"/>
      <c r="W254" s="38"/>
      <c r="X254" s="38"/>
      <c r="Y254" s="38"/>
      <c r="Z254" s="38"/>
      <c r="AA254" s="38"/>
      <c r="AB254" s="38"/>
      <c r="AC254" s="38"/>
    </row>
    <row r="255" spans="1:29" ht="12.75">
      <c r="A255" s="38"/>
      <c r="B255" s="38"/>
      <c r="C255" s="40"/>
      <c r="D255" s="41"/>
      <c r="E255" s="40"/>
      <c r="F255" s="41"/>
      <c r="G255" s="40"/>
      <c r="H255" s="41"/>
      <c r="I255" s="39"/>
      <c r="J255" s="39"/>
      <c r="K255" s="40"/>
      <c r="L255" s="41"/>
      <c r="M255" s="38"/>
      <c r="N255" s="15"/>
      <c r="O255" s="15"/>
      <c r="P255" s="15"/>
      <c r="Q255" s="15"/>
      <c r="R255" s="16"/>
      <c r="S255" s="38"/>
      <c r="T255" s="38"/>
      <c r="U255" s="38"/>
      <c r="V255" s="38"/>
      <c r="W255" s="38"/>
      <c r="X255" s="38"/>
      <c r="Y255" s="38"/>
      <c r="Z255" s="38"/>
      <c r="AA255" s="38"/>
      <c r="AB255" s="38"/>
      <c r="AC255" s="38"/>
    </row>
    <row r="256" spans="1:29" ht="12.75">
      <c r="A256" s="38"/>
      <c r="B256" s="38"/>
      <c r="C256" s="40"/>
      <c r="D256" s="41"/>
      <c r="E256" s="40"/>
      <c r="F256" s="41"/>
      <c r="G256" s="40"/>
      <c r="H256" s="41"/>
      <c r="I256" s="39"/>
      <c r="J256" s="39"/>
      <c r="K256" s="40"/>
      <c r="L256" s="41"/>
      <c r="M256" s="38"/>
      <c r="N256" s="15"/>
      <c r="O256" s="15"/>
      <c r="P256" s="15"/>
      <c r="Q256" s="15"/>
      <c r="R256" s="16"/>
      <c r="S256" s="38"/>
      <c r="T256" s="38"/>
      <c r="U256" s="38"/>
      <c r="V256" s="38"/>
      <c r="W256" s="38"/>
      <c r="X256" s="38"/>
      <c r="Y256" s="38"/>
      <c r="Z256" s="38"/>
      <c r="AA256" s="38"/>
      <c r="AB256" s="38"/>
      <c r="AC256" s="38"/>
    </row>
    <row r="257" spans="1:29" ht="12.75">
      <c r="A257" s="38"/>
      <c r="B257" s="38"/>
      <c r="C257" s="40"/>
      <c r="D257" s="41"/>
      <c r="E257" s="40"/>
      <c r="F257" s="41"/>
      <c r="G257" s="40"/>
      <c r="H257" s="41"/>
      <c r="I257" s="39"/>
      <c r="J257" s="39"/>
      <c r="K257" s="40"/>
      <c r="L257" s="41"/>
      <c r="M257" s="38"/>
      <c r="N257" s="15"/>
      <c r="O257" s="15"/>
      <c r="P257" s="15"/>
      <c r="Q257" s="15"/>
      <c r="R257" s="16"/>
      <c r="S257" s="38"/>
      <c r="T257" s="38"/>
      <c r="U257" s="38"/>
      <c r="V257" s="38"/>
      <c r="W257" s="38"/>
      <c r="X257" s="38"/>
      <c r="Y257" s="38"/>
      <c r="Z257" s="38"/>
      <c r="AA257" s="38"/>
      <c r="AB257" s="38"/>
      <c r="AC257" s="38"/>
    </row>
    <row r="258" spans="1:29" ht="12.75">
      <c r="A258" s="38"/>
      <c r="B258" s="38"/>
      <c r="C258" s="40"/>
      <c r="D258" s="41"/>
      <c r="E258" s="40"/>
      <c r="F258" s="41"/>
      <c r="G258" s="40"/>
      <c r="H258" s="41"/>
      <c r="I258" s="39"/>
      <c r="J258" s="39"/>
      <c r="K258" s="40"/>
      <c r="L258" s="41"/>
      <c r="M258" s="38"/>
      <c r="N258" s="15"/>
      <c r="O258" s="15"/>
      <c r="P258" s="15"/>
      <c r="Q258" s="15"/>
      <c r="R258" s="16"/>
      <c r="S258" s="38"/>
      <c r="T258" s="38"/>
      <c r="U258" s="38"/>
      <c r="V258" s="38"/>
      <c r="W258" s="38"/>
      <c r="X258" s="38"/>
      <c r="Y258" s="38"/>
      <c r="Z258" s="38"/>
      <c r="AA258" s="38"/>
      <c r="AB258" s="38"/>
      <c r="AC258" s="38"/>
    </row>
    <row r="259" spans="1:29" ht="12.75">
      <c r="A259" s="38"/>
      <c r="B259" s="38"/>
      <c r="C259" s="40"/>
      <c r="D259" s="41"/>
      <c r="E259" s="40"/>
      <c r="F259" s="41"/>
      <c r="G259" s="40"/>
      <c r="H259" s="41"/>
      <c r="I259" s="39"/>
      <c r="J259" s="39"/>
      <c r="K259" s="40"/>
      <c r="L259" s="41"/>
      <c r="M259" s="38"/>
      <c r="N259" s="15"/>
      <c r="O259" s="15"/>
      <c r="P259" s="15"/>
      <c r="Q259" s="15"/>
      <c r="R259" s="16"/>
      <c r="S259" s="38"/>
      <c r="T259" s="38"/>
      <c r="U259" s="38"/>
      <c r="V259" s="38"/>
      <c r="W259" s="38"/>
      <c r="X259" s="38"/>
      <c r="Y259" s="38"/>
      <c r="Z259" s="38"/>
      <c r="AA259" s="38"/>
      <c r="AB259" s="38"/>
      <c r="AC259" s="38"/>
    </row>
    <row r="260" spans="1:29" ht="12.75">
      <c r="A260" s="38"/>
      <c r="B260" s="38"/>
      <c r="C260" s="40"/>
      <c r="D260" s="41"/>
      <c r="E260" s="40"/>
      <c r="F260" s="41"/>
      <c r="G260" s="40"/>
      <c r="H260" s="41"/>
      <c r="I260" s="39"/>
      <c r="J260" s="39"/>
      <c r="K260" s="40"/>
      <c r="L260" s="41"/>
      <c r="M260" s="38"/>
      <c r="N260" s="15"/>
      <c r="O260" s="15"/>
      <c r="P260" s="15"/>
      <c r="Q260" s="15"/>
      <c r="R260" s="16"/>
      <c r="S260" s="38"/>
      <c r="T260" s="38"/>
      <c r="U260" s="38"/>
      <c r="V260" s="38"/>
      <c r="W260" s="38"/>
      <c r="X260" s="38"/>
      <c r="Y260" s="38"/>
      <c r="Z260" s="38"/>
      <c r="AA260" s="38"/>
      <c r="AB260" s="38"/>
      <c r="AC260" s="38"/>
    </row>
    <row r="261" spans="1:29" ht="12.75">
      <c r="A261" s="38"/>
      <c r="B261" s="38"/>
      <c r="C261" s="40"/>
      <c r="D261" s="41"/>
      <c r="E261" s="40"/>
      <c r="F261" s="41"/>
      <c r="G261" s="40"/>
      <c r="H261" s="41"/>
      <c r="I261" s="39"/>
      <c r="J261" s="39"/>
      <c r="K261" s="40"/>
      <c r="L261" s="41"/>
      <c r="M261" s="38"/>
      <c r="N261" s="15"/>
      <c r="O261" s="15"/>
      <c r="P261" s="15"/>
      <c r="Q261" s="15"/>
      <c r="R261" s="16"/>
      <c r="S261" s="38"/>
      <c r="T261" s="38"/>
      <c r="U261" s="38"/>
      <c r="V261" s="38"/>
      <c r="W261" s="38"/>
      <c r="X261" s="38"/>
      <c r="Y261" s="38"/>
      <c r="Z261" s="38"/>
      <c r="AA261" s="38"/>
      <c r="AB261" s="38"/>
      <c r="AC261" s="38"/>
    </row>
    <row r="262" spans="1:29" ht="12.75">
      <c r="A262" s="38"/>
      <c r="B262" s="38"/>
      <c r="C262" s="40"/>
      <c r="D262" s="41"/>
      <c r="E262" s="40"/>
      <c r="F262" s="41"/>
      <c r="G262" s="40"/>
      <c r="H262" s="41"/>
      <c r="I262" s="39"/>
      <c r="J262" s="39"/>
      <c r="K262" s="40"/>
      <c r="L262" s="41"/>
      <c r="M262" s="38"/>
      <c r="N262" s="15"/>
      <c r="O262" s="15"/>
      <c r="P262" s="15"/>
      <c r="Q262" s="15"/>
      <c r="R262" s="16"/>
      <c r="S262" s="38"/>
      <c r="T262" s="38"/>
      <c r="U262" s="38"/>
      <c r="V262" s="38"/>
      <c r="W262" s="38"/>
      <c r="X262" s="38"/>
      <c r="Y262" s="38"/>
      <c r="Z262" s="38"/>
      <c r="AA262" s="38"/>
      <c r="AB262" s="38"/>
      <c r="AC262" s="38"/>
    </row>
    <row r="263" spans="1:29" ht="12.75">
      <c r="A263" s="38"/>
      <c r="B263" s="38"/>
      <c r="C263" s="40"/>
      <c r="D263" s="41"/>
      <c r="E263" s="40"/>
      <c r="F263" s="41"/>
      <c r="G263" s="40"/>
      <c r="H263" s="41"/>
      <c r="I263" s="39"/>
      <c r="J263" s="39"/>
      <c r="K263" s="40"/>
      <c r="L263" s="41"/>
      <c r="M263" s="38"/>
      <c r="N263" s="15"/>
      <c r="O263" s="15"/>
      <c r="P263" s="15"/>
      <c r="Q263" s="15"/>
      <c r="R263" s="16"/>
      <c r="S263" s="38"/>
      <c r="T263" s="38"/>
      <c r="U263" s="38"/>
      <c r="V263" s="38"/>
      <c r="W263" s="38"/>
      <c r="X263" s="38"/>
      <c r="Y263" s="38"/>
      <c r="Z263" s="38"/>
      <c r="AA263" s="38"/>
      <c r="AB263" s="38"/>
      <c r="AC263" s="38"/>
    </row>
    <row r="264" spans="1:29" ht="12.75">
      <c r="A264" s="38"/>
      <c r="B264" s="38"/>
      <c r="C264" s="40"/>
      <c r="D264" s="41"/>
      <c r="E264" s="40"/>
      <c r="F264" s="41"/>
      <c r="G264" s="40"/>
      <c r="H264" s="41"/>
      <c r="I264" s="39"/>
      <c r="J264" s="39"/>
      <c r="K264" s="40"/>
      <c r="L264" s="41"/>
      <c r="M264" s="38"/>
      <c r="N264" s="15"/>
      <c r="O264" s="15"/>
      <c r="P264" s="15"/>
      <c r="Q264" s="15"/>
      <c r="R264" s="16"/>
      <c r="S264" s="38"/>
      <c r="T264" s="38"/>
      <c r="U264" s="38"/>
      <c r="V264" s="38"/>
      <c r="W264" s="38"/>
      <c r="X264" s="38"/>
      <c r="Y264" s="38"/>
      <c r="Z264" s="38"/>
      <c r="AA264" s="38"/>
      <c r="AB264" s="38"/>
      <c r="AC264" s="38"/>
    </row>
    <row r="265" spans="1:29" ht="12.75">
      <c r="A265" s="38"/>
      <c r="B265" s="38"/>
      <c r="C265" s="40"/>
      <c r="D265" s="41"/>
      <c r="E265" s="40"/>
      <c r="F265" s="41"/>
      <c r="G265" s="40"/>
      <c r="H265" s="41"/>
      <c r="I265" s="39"/>
      <c r="J265" s="39"/>
      <c r="K265" s="40"/>
      <c r="L265" s="41"/>
      <c r="M265" s="38"/>
      <c r="N265" s="15"/>
      <c r="O265" s="15"/>
      <c r="P265" s="15"/>
      <c r="Q265" s="15"/>
      <c r="R265" s="16"/>
      <c r="S265" s="38"/>
      <c r="T265" s="38"/>
      <c r="U265" s="38"/>
      <c r="V265" s="38"/>
      <c r="W265" s="38"/>
      <c r="X265" s="38"/>
      <c r="Y265" s="38"/>
      <c r="Z265" s="38"/>
      <c r="AA265" s="38"/>
      <c r="AB265" s="38"/>
      <c r="AC265" s="38"/>
    </row>
    <row r="266" spans="1:29" ht="12.75">
      <c r="A266" s="38"/>
      <c r="B266" s="38"/>
      <c r="C266" s="40"/>
      <c r="D266" s="41"/>
      <c r="E266" s="40"/>
      <c r="F266" s="41"/>
      <c r="G266" s="40"/>
      <c r="H266" s="41"/>
      <c r="I266" s="39"/>
      <c r="J266" s="39"/>
      <c r="K266" s="40"/>
      <c r="L266" s="41"/>
      <c r="M266" s="38"/>
      <c r="N266" s="15"/>
      <c r="O266" s="15"/>
      <c r="P266" s="15"/>
      <c r="Q266" s="15"/>
      <c r="R266" s="16"/>
      <c r="S266" s="38"/>
      <c r="T266" s="38"/>
      <c r="U266" s="38"/>
      <c r="V266" s="38"/>
      <c r="W266" s="38"/>
      <c r="X266" s="38"/>
      <c r="Y266" s="38"/>
      <c r="Z266" s="38"/>
      <c r="AA266" s="38"/>
      <c r="AB266" s="38"/>
      <c r="AC266" s="38"/>
    </row>
    <row r="267" spans="1:29" ht="12.75">
      <c r="A267" s="38"/>
      <c r="B267" s="38"/>
      <c r="C267" s="40"/>
      <c r="D267" s="41"/>
      <c r="E267" s="40"/>
      <c r="F267" s="41"/>
      <c r="G267" s="40"/>
      <c r="H267" s="41"/>
      <c r="I267" s="39"/>
      <c r="J267" s="39"/>
      <c r="K267" s="40"/>
      <c r="L267" s="41"/>
      <c r="M267" s="38"/>
      <c r="N267" s="15"/>
      <c r="O267" s="15"/>
      <c r="P267" s="15"/>
      <c r="Q267" s="15"/>
      <c r="R267" s="16"/>
      <c r="S267" s="38"/>
      <c r="T267" s="38"/>
      <c r="U267" s="38"/>
      <c r="V267" s="38"/>
      <c r="W267" s="38"/>
      <c r="X267" s="38"/>
      <c r="Y267" s="38"/>
      <c r="Z267" s="38"/>
      <c r="AA267" s="38"/>
      <c r="AB267" s="38"/>
      <c r="AC267" s="38"/>
    </row>
    <row r="268" spans="1:29" ht="12.75">
      <c r="A268" s="38"/>
      <c r="B268" s="38"/>
      <c r="C268" s="40"/>
      <c r="D268" s="41"/>
      <c r="E268" s="40"/>
      <c r="F268" s="41"/>
      <c r="G268" s="40"/>
      <c r="H268" s="41"/>
      <c r="I268" s="39"/>
      <c r="J268" s="39"/>
      <c r="K268" s="40"/>
      <c r="L268" s="41"/>
      <c r="M268" s="38"/>
      <c r="N268" s="15"/>
      <c r="O268" s="15"/>
      <c r="P268" s="15"/>
      <c r="Q268" s="15"/>
      <c r="R268" s="16"/>
      <c r="S268" s="38"/>
      <c r="T268" s="38"/>
      <c r="U268" s="38"/>
      <c r="V268" s="38"/>
      <c r="W268" s="38"/>
      <c r="X268" s="38"/>
      <c r="Y268" s="38"/>
      <c r="Z268" s="38"/>
      <c r="AA268" s="38"/>
      <c r="AB268" s="38"/>
      <c r="AC268" s="38"/>
    </row>
    <row r="269" spans="1:29" ht="12.75">
      <c r="A269" s="38"/>
      <c r="B269" s="38"/>
      <c r="C269" s="40"/>
      <c r="D269" s="41"/>
      <c r="E269" s="40"/>
      <c r="F269" s="41"/>
      <c r="G269" s="40"/>
      <c r="H269" s="41"/>
      <c r="I269" s="39"/>
      <c r="J269" s="39"/>
      <c r="K269" s="40"/>
      <c r="L269" s="41"/>
      <c r="M269" s="38"/>
      <c r="N269" s="15"/>
      <c r="O269" s="15"/>
      <c r="P269" s="15"/>
      <c r="Q269" s="15"/>
      <c r="R269" s="16"/>
      <c r="S269" s="38"/>
      <c r="T269" s="38"/>
      <c r="U269" s="38"/>
      <c r="V269" s="38"/>
      <c r="W269" s="38"/>
      <c r="X269" s="38"/>
      <c r="Y269" s="38"/>
      <c r="Z269" s="38"/>
      <c r="AA269" s="38"/>
      <c r="AB269" s="38"/>
      <c r="AC269" s="38"/>
    </row>
    <row r="270" spans="1:29" ht="12.75">
      <c r="A270" s="38"/>
      <c r="B270" s="38"/>
      <c r="C270" s="40"/>
      <c r="D270" s="41"/>
      <c r="E270" s="40"/>
      <c r="F270" s="41"/>
      <c r="G270" s="40"/>
      <c r="H270" s="41"/>
      <c r="I270" s="39"/>
      <c r="J270" s="39"/>
      <c r="K270" s="40"/>
      <c r="L270" s="41"/>
      <c r="M270" s="38"/>
      <c r="N270" s="15"/>
      <c r="O270" s="15"/>
      <c r="P270" s="15"/>
      <c r="Q270" s="15"/>
      <c r="R270" s="16"/>
      <c r="S270" s="38"/>
      <c r="T270" s="38"/>
      <c r="U270" s="38"/>
      <c r="V270" s="38"/>
      <c r="W270" s="38"/>
      <c r="X270" s="38"/>
      <c r="Y270" s="38"/>
      <c r="Z270" s="38"/>
      <c r="AA270" s="38"/>
      <c r="AB270" s="38"/>
      <c r="AC270" s="38"/>
    </row>
    <row r="271" spans="1:29" ht="12.75">
      <c r="A271" s="38"/>
      <c r="B271" s="38"/>
      <c r="C271" s="40"/>
      <c r="D271" s="41"/>
      <c r="E271" s="40"/>
      <c r="F271" s="41"/>
      <c r="G271" s="40"/>
      <c r="H271" s="41"/>
      <c r="I271" s="39"/>
      <c r="J271" s="39"/>
      <c r="K271" s="40"/>
      <c r="L271" s="41"/>
      <c r="M271" s="38"/>
      <c r="N271" s="15"/>
      <c r="O271" s="15"/>
      <c r="P271" s="15"/>
      <c r="Q271" s="15"/>
      <c r="R271" s="16"/>
      <c r="S271" s="38"/>
      <c r="T271" s="38"/>
      <c r="U271" s="38"/>
      <c r="V271" s="38"/>
      <c r="W271" s="38"/>
      <c r="X271" s="38"/>
      <c r="Y271" s="38"/>
      <c r="Z271" s="38"/>
      <c r="AA271" s="38"/>
      <c r="AB271" s="38"/>
      <c r="AC271" s="38"/>
    </row>
    <row r="272" spans="1:29" ht="12.75">
      <c r="A272" s="38"/>
      <c r="B272" s="38"/>
      <c r="C272" s="40"/>
      <c r="D272" s="41"/>
      <c r="E272" s="40"/>
      <c r="F272" s="41"/>
      <c r="G272" s="40"/>
      <c r="H272" s="41"/>
      <c r="I272" s="39"/>
      <c r="J272" s="39"/>
      <c r="K272" s="40"/>
      <c r="L272" s="41"/>
      <c r="M272" s="38"/>
      <c r="N272" s="15"/>
      <c r="O272" s="15"/>
      <c r="P272" s="15"/>
      <c r="Q272" s="15"/>
      <c r="R272" s="16"/>
      <c r="S272" s="38"/>
      <c r="T272" s="38"/>
      <c r="U272" s="38"/>
      <c r="V272" s="38"/>
      <c r="W272" s="38"/>
      <c r="X272" s="38"/>
      <c r="Y272" s="38"/>
      <c r="Z272" s="38"/>
      <c r="AA272" s="38"/>
      <c r="AB272" s="38"/>
      <c r="AC272" s="38"/>
    </row>
    <row r="273" spans="1:29" ht="12.75">
      <c r="A273" s="38"/>
      <c r="B273" s="38"/>
      <c r="C273" s="40"/>
      <c r="D273" s="41"/>
      <c r="E273" s="40"/>
      <c r="F273" s="41"/>
      <c r="G273" s="40"/>
      <c r="H273" s="41"/>
      <c r="I273" s="39"/>
      <c r="J273" s="39"/>
      <c r="K273" s="40"/>
      <c r="L273" s="41"/>
      <c r="M273" s="38"/>
      <c r="N273" s="15"/>
      <c r="O273" s="15"/>
      <c r="P273" s="15"/>
      <c r="Q273" s="15"/>
      <c r="R273" s="16"/>
      <c r="S273" s="38"/>
      <c r="T273" s="38"/>
      <c r="U273" s="38"/>
      <c r="V273" s="38"/>
      <c r="W273" s="38"/>
      <c r="X273" s="38"/>
      <c r="Y273" s="38"/>
      <c r="Z273" s="38"/>
      <c r="AA273" s="38"/>
      <c r="AB273" s="38"/>
      <c r="AC273" s="38"/>
    </row>
    <row r="274" spans="1:29" ht="12.75">
      <c r="A274" s="38"/>
      <c r="B274" s="38"/>
      <c r="C274" s="40"/>
      <c r="D274" s="41"/>
      <c r="E274" s="40"/>
      <c r="F274" s="41"/>
      <c r="G274" s="40"/>
      <c r="H274" s="41"/>
      <c r="I274" s="39"/>
      <c r="J274" s="39"/>
      <c r="K274" s="40"/>
      <c r="L274" s="41"/>
      <c r="M274" s="38"/>
      <c r="N274" s="15"/>
      <c r="O274" s="15"/>
      <c r="P274" s="15"/>
      <c r="Q274" s="15"/>
      <c r="R274" s="16"/>
      <c r="S274" s="38"/>
      <c r="T274" s="38"/>
      <c r="U274" s="38"/>
      <c r="V274" s="38"/>
      <c r="W274" s="38"/>
      <c r="X274" s="38"/>
      <c r="Y274" s="38"/>
      <c r="Z274" s="38"/>
      <c r="AA274" s="38"/>
      <c r="AB274" s="38"/>
      <c r="AC274" s="38"/>
    </row>
    <row r="275" spans="1:29" ht="12.75">
      <c r="A275" s="38"/>
      <c r="B275" s="38"/>
      <c r="C275" s="40"/>
      <c r="D275" s="41"/>
      <c r="E275" s="40"/>
      <c r="F275" s="41"/>
      <c r="G275" s="40"/>
      <c r="H275" s="41"/>
      <c r="I275" s="39"/>
      <c r="J275" s="39"/>
      <c r="K275" s="40"/>
      <c r="L275" s="41"/>
      <c r="M275" s="38"/>
      <c r="N275" s="15"/>
      <c r="O275" s="15"/>
      <c r="P275" s="15"/>
      <c r="Q275" s="15"/>
      <c r="R275" s="16"/>
      <c r="S275" s="38"/>
      <c r="T275" s="38"/>
      <c r="U275" s="38"/>
      <c r="V275" s="38"/>
      <c r="W275" s="38"/>
      <c r="X275" s="38"/>
      <c r="Y275" s="38"/>
      <c r="Z275" s="38"/>
      <c r="AA275" s="38"/>
      <c r="AB275" s="38"/>
      <c r="AC275" s="38"/>
    </row>
    <row r="276" spans="1:29" ht="12.75">
      <c r="A276" s="38"/>
      <c r="B276" s="38"/>
      <c r="C276" s="40"/>
      <c r="D276" s="41"/>
      <c r="E276" s="40"/>
      <c r="F276" s="41"/>
      <c r="G276" s="40"/>
      <c r="H276" s="41"/>
      <c r="I276" s="39"/>
      <c r="J276" s="39"/>
      <c r="K276" s="40"/>
      <c r="L276" s="41"/>
      <c r="M276" s="38"/>
      <c r="N276" s="15"/>
      <c r="O276" s="15"/>
      <c r="P276" s="15"/>
      <c r="Q276" s="15"/>
      <c r="R276" s="16"/>
      <c r="S276" s="38"/>
      <c r="T276" s="38"/>
      <c r="U276" s="38"/>
      <c r="V276" s="38"/>
      <c r="W276" s="38"/>
      <c r="X276" s="38"/>
      <c r="Y276" s="38"/>
      <c r="Z276" s="38"/>
      <c r="AA276" s="38"/>
      <c r="AB276" s="38"/>
      <c r="AC276" s="38"/>
    </row>
    <row r="277" spans="1:29" ht="12.75">
      <c r="A277" s="38"/>
      <c r="B277" s="38"/>
      <c r="C277" s="40"/>
      <c r="D277" s="41"/>
      <c r="E277" s="40"/>
      <c r="F277" s="41"/>
      <c r="G277" s="40"/>
      <c r="H277" s="41"/>
      <c r="I277" s="39"/>
      <c r="J277" s="39"/>
      <c r="K277" s="40"/>
      <c r="L277" s="41"/>
      <c r="M277" s="38"/>
      <c r="N277" s="15"/>
      <c r="O277" s="15"/>
      <c r="P277" s="15"/>
      <c r="Q277" s="15"/>
      <c r="R277" s="16"/>
      <c r="S277" s="38"/>
      <c r="T277" s="38"/>
      <c r="U277" s="38"/>
      <c r="V277" s="38"/>
      <c r="W277" s="38"/>
      <c r="X277" s="38"/>
      <c r="Y277" s="38"/>
      <c r="Z277" s="38"/>
      <c r="AA277" s="38"/>
      <c r="AB277" s="38"/>
      <c r="AC277" s="38"/>
    </row>
    <row r="278" spans="1:29" ht="12.75">
      <c r="A278" s="38"/>
      <c r="B278" s="38"/>
      <c r="C278" s="40"/>
      <c r="D278" s="41"/>
      <c r="E278" s="40"/>
      <c r="F278" s="41"/>
      <c r="G278" s="40"/>
      <c r="H278" s="41"/>
      <c r="I278" s="39"/>
      <c r="J278" s="39"/>
      <c r="K278" s="40"/>
      <c r="L278" s="41"/>
      <c r="M278" s="38"/>
      <c r="N278" s="15"/>
      <c r="O278" s="15"/>
      <c r="P278" s="15"/>
      <c r="Q278" s="15"/>
      <c r="R278" s="16"/>
      <c r="S278" s="38"/>
      <c r="T278" s="38"/>
      <c r="U278" s="38"/>
      <c r="V278" s="38"/>
      <c r="W278" s="38"/>
      <c r="X278" s="38"/>
      <c r="Y278" s="38"/>
      <c r="Z278" s="38"/>
      <c r="AA278" s="38"/>
      <c r="AB278" s="38"/>
      <c r="AC278" s="38"/>
    </row>
    <row r="279" spans="1:29" ht="12.75">
      <c r="A279" s="38"/>
      <c r="B279" s="38"/>
      <c r="C279" s="40"/>
      <c r="D279" s="41"/>
      <c r="E279" s="40"/>
      <c r="F279" s="41"/>
      <c r="G279" s="40"/>
      <c r="H279" s="41"/>
      <c r="I279" s="39"/>
      <c r="J279" s="39"/>
      <c r="K279" s="40"/>
      <c r="L279" s="41"/>
      <c r="M279" s="38"/>
      <c r="N279" s="15"/>
      <c r="O279" s="15"/>
      <c r="P279" s="15"/>
      <c r="Q279" s="15"/>
      <c r="R279" s="16"/>
      <c r="S279" s="38"/>
      <c r="T279" s="38"/>
      <c r="U279" s="38"/>
      <c r="V279" s="38"/>
      <c r="W279" s="38"/>
      <c r="X279" s="38"/>
      <c r="Y279" s="38"/>
      <c r="Z279" s="38"/>
      <c r="AA279" s="38"/>
      <c r="AB279" s="38"/>
      <c r="AC279" s="38"/>
    </row>
    <row r="280" spans="1:29" ht="12.75">
      <c r="A280" s="38"/>
      <c r="B280" s="38"/>
      <c r="C280" s="40"/>
      <c r="D280" s="41"/>
      <c r="E280" s="40"/>
      <c r="F280" s="41"/>
      <c r="G280" s="40"/>
      <c r="H280" s="41"/>
      <c r="I280" s="39"/>
      <c r="J280" s="39"/>
      <c r="K280" s="40"/>
      <c r="L280" s="41"/>
      <c r="M280" s="38"/>
      <c r="N280" s="15"/>
      <c r="O280" s="15"/>
      <c r="P280" s="15"/>
      <c r="Q280" s="15"/>
      <c r="R280" s="16"/>
      <c r="S280" s="38"/>
      <c r="T280" s="38"/>
      <c r="U280" s="38"/>
      <c r="V280" s="38"/>
      <c r="W280" s="38"/>
      <c r="X280" s="38"/>
      <c r="Y280" s="38"/>
      <c r="Z280" s="38"/>
      <c r="AA280" s="38"/>
      <c r="AB280" s="38"/>
      <c r="AC280" s="38"/>
    </row>
    <row r="281" spans="1:29" ht="12.75">
      <c r="A281" s="38"/>
      <c r="B281" s="38"/>
      <c r="C281" s="40"/>
      <c r="D281" s="41"/>
      <c r="E281" s="40"/>
      <c r="F281" s="41"/>
      <c r="G281" s="40"/>
      <c r="H281" s="41"/>
      <c r="I281" s="39"/>
      <c r="J281" s="39"/>
      <c r="K281" s="40"/>
      <c r="L281" s="41"/>
      <c r="M281" s="38"/>
      <c r="N281" s="15"/>
      <c r="O281" s="15"/>
      <c r="P281" s="15"/>
      <c r="Q281" s="15"/>
      <c r="R281" s="16"/>
      <c r="S281" s="38"/>
      <c r="T281" s="38"/>
      <c r="U281" s="38"/>
      <c r="V281" s="38"/>
      <c r="W281" s="38"/>
      <c r="X281" s="38"/>
      <c r="Y281" s="38"/>
      <c r="Z281" s="38"/>
      <c r="AA281" s="38"/>
      <c r="AB281" s="38"/>
      <c r="AC281" s="38"/>
    </row>
    <row r="282" spans="1:29" ht="12.75">
      <c r="A282" s="38"/>
      <c r="B282" s="38"/>
      <c r="C282" s="40"/>
      <c r="D282" s="41"/>
      <c r="E282" s="40"/>
      <c r="F282" s="41"/>
      <c r="G282" s="40"/>
      <c r="H282" s="41"/>
      <c r="I282" s="39"/>
      <c r="J282" s="39"/>
      <c r="K282" s="40"/>
      <c r="L282" s="41"/>
      <c r="M282" s="38"/>
      <c r="N282" s="15"/>
      <c r="O282" s="15"/>
      <c r="P282" s="15"/>
      <c r="Q282" s="15"/>
      <c r="R282" s="16"/>
      <c r="S282" s="38"/>
      <c r="T282" s="38"/>
      <c r="U282" s="38"/>
      <c r="V282" s="38"/>
      <c r="W282" s="38"/>
      <c r="X282" s="38"/>
      <c r="Y282" s="38"/>
      <c r="Z282" s="38"/>
      <c r="AA282" s="38"/>
      <c r="AB282" s="38"/>
      <c r="AC282" s="38"/>
    </row>
    <row r="283" spans="1:29" ht="12.75">
      <c r="A283" s="38"/>
      <c r="B283" s="38"/>
      <c r="C283" s="40"/>
      <c r="D283" s="41"/>
      <c r="E283" s="40"/>
      <c r="F283" s="41"/>
      <c r="G283" s="40"/>
      <c r="H283" s="41"/>
      <c r="I283" s="39"/>
      <c r="J283" s="39"/>
      <c r="K283" s="40"/>
      <c r="L283" s="41"/>
      <c r="M283" s="38"/>
      <c r="N283" s="15"/>
      <c r="O283" s="15"/>
      <c r="P283" s="15"/>
      <c r="Q283" s="15"/>
      <c r="R283" s="16"/>
      <c r="S283" s="38"/>
      <c r="T283" s="38"/>
      <c r="U283" s="38"/>
      <c r="V283" s="38"/>
      <c r="W283" s="38"/>
      <c r="X283" s="38"/>
      <c r="Y283" s="38"/>
      <c r="Z283" s="38"/>
      <c r="AA283" s="38"/>
      <c r="AB283" s="38"/>
      <c r="AC283" s="38"/>
    </row>
    <row r="284" spans="1:29" ht="12.75">
      <c r="A284" s="38"/>
      <c r="B284" s="38"/>
      <c r="C284" s="40"/>
      <c r="D284" s="41"/>
      <c r="E284" s="40"/>
      <c r="F284" s="41"/>
      <c r="G284" s="40"/>
      <c r="H284" s="41"/>
      <c r="I284" s="39"/>
      <c r="J284" s="39"/>
      <c r="K284" s="40"/>
      <c r="L284" s="41"/>
      <c r="M284" s="38"/>
      <c r="N284" s="15"/>
      <c r="O284" s="15"/>
      <c r="P284" s="15"/>
      <c r="Q284" s="15"/>
      <c r="R284" s="16"/>
      <c r="S284" s="38"/>
      <c r="T284" s="38"/>
      <c r="U284" s="38"/>
      <c r="V284" s="38"/>
      <c r="W284" s="38"/>
      <c r="X284" s="38"/>
      <c r="Y284" s="38"/>
      <c r="Z284" s="38"/>
      <c r="AA284" s="38"/>
      <c r="AB284" s="38"/>
      <c r="AC284" s="38"/>
    </row>
    <row r="285" spans="1:29" ht="12.75">
      <c r="A285" s="38"/>
      <c r="B285" s="38"/>
      <c r="C285" s="40"/>
      <c r="D285" s="41"/>
      <c r="E285" s="40"/>
      <c r="F285" s="41"/>
      <c r="G285" s="40"/>
      <c r="H285" s="41"/>
      <c r="I285" s="39"/>
      <c r="J285" s="39"/>
      <c r="K285" s="40"/>
      <c r="L285" s="41"/>
      <c r="M285" s="38"/>
      <c r="N285" s="15"/>
      <c r="O285" s="15"/>
      <c r="P285" s="15"/>
      <c r="Q285" s="15"/>
      <c r="R285" s="16"/>
      <c r="S285" s="38"/>
      <c r="T285" s="38"/>
      <c r="U285" s="38"/>
      <c r="V285" s="38"/>
      <c r="W285" s="38"/>
      <c r="X285" s="38"/>
      <c r="Y285" s="38"/>
      <c r="Z285" s="38"/>
      <c r="AA285" s="38"/>
      <c r="AB285" s="38"/>
      <c r="AC285" s="38"/>
    </row>
    <row r="286" spans="1:29" ht="12.75">
      <c r="A286" s="38"/>
      <c r="B286" s="38"/>
      <c r="C286" s="40"/>
      <c r="D286" s="41"/>
      <c r="E286" s="40"/>
      <c r="F286" s="41"/>
      <c r="G286" s="40"/>
      <c r="H286" s="41"/>
      <c r="I286" s="39"/>
      <c r="J286" s="39"/>
      <c r="K286" s="40"/>
      <c r="L286" s="41"/>
      <c r="M286" s="38"/>
      <c r="N286" s="15"/>
      <c r="O286" s="15"/>
      <c r="P286" s="15"/>
      <c r="Q286" s="15"/>
      <c r="R286" s="16"/>
      <c r="S286" s="38"/>
      <c r="T286" s="38"/>
      <c r="U286" s="38"/>
      <c r="V286" s="38"/>
      <c r="W286" s="38"/>
      <c r="X286" s="38"/>
      <c r="Y286" s="38"/>
      <c r="Z286" s="38"/>
      <c r="AA286" s="38"/>
      <c r="AB286" s="38"/>
      <c r="AC286" s="38"/>
    </row>
    <row r="287" spans="1:29" ht="12.75">
      <c r="A287" s="38"/>
      <c r="B287" s="38"/>
      <c r="C287" s="40"/>
      <c r="D287" s="41"/>
      <c r="E287" s="40"/>
      <c r="F287" s="41"/>
      <c r="G287" s="40"/>
      <c r="H287" s="41"/>
      <c r="I287" s="39"/>
      <c r="J287" s="39"/>
      <c r="K287" s="40"/>
      <c r="L287" s="41"/>
      <c r="M287" s="38"/>
      <c r="N287" s="15"/>
      <c r="O287" s="15"/>
      <c r="P287" s="15"/>
      <c r="Q287" s="15"/>
      <c r="R287" s="16"/>
      <c r="S287" s="38"/>
      <c r="T287" s="38"/>
      <c r="U287" s="38"/>
      <c r="V287" s="38"/>
      <c r="W287" s="38"/>
      <c r="X287" s="38"/>
      <c r="Y287" s="38"/>
      <c r="Z287" s="38"/>
      <c r="AA287" s="38"/>
      <c r="AB287" s="38"/>
      <c r="AC287" s="38"/>
    </row>
    <row r="288" spans="1:29" ht="12.75">
      <c r="A288" s="38"/>
      <c r="B288" s="38"/>
      <c r="C288" s="40"/>
      <c r="D288" s="41"/>
      <c r="E288" s="40"/>
      <c r="F288" s="41"/>
      <c r="G288" s="40"/>
      <c r="H288" s="41"/>
      <c r="I288" s="39"/>
      <c r="J288" s="39"/>
      <c r="K288" s="40"/>
      <c r="L288" s="41"/>
      <c r="M288" s="38"/>
      <c r="N288" s="15"/>
      <c r="O288" s="15"/>
      <c r="P288" s="15"/>
      <c r="Q288" s="15"/>
      <c r="R288" s="16"/>
      <c r="S288" s="38"/>
      <c r="T288" s="38"/>
      <c r="U288" s="38"/>
      <c r="V288" s="38"/>
      <c r="W288" s="38"/>
      <c r="X288" s="38"/>
      <c r="Y288" s="38"/>
      <c r="Z288" s="38"/>
      <c r="AA288" s="38"/>
      <c r="AB288" s="38"/>
      <c r="AC288" s="38"/>
    </row>
    <row r="289" spans="1:29" ht="12.75">
      <c r="A289" s="38"/>
      <c r="B289" s="38"/>
      <c r="C289" s="40"/>
      <c r="D289" s="41"/>
      <c r="E289" s="40"/>
      <c r="F289" s="41"/>
      <c r="G289" s="40"/>
      <c r="H289" s="41"/>
      <c r="I289" s="39"/>
      <c r="J289" s="39"/>
      <c r="K289" s="40"/>
      <c r="L289" s="41"/>
      <c r="M289" s="38"/>
      <c r="N289" s="15"/>
      <c r="O289" s="15"/>
      <c r="P289" s="15"/>
      <c r="Q289" s="15"/>
      <c r="R289" s="16"/>
      <c r="S289" s="38"/>
      <c r="T289" s="38"/>
      <c r="U289" s="38"/>
      <c r="V289" s="38"/>
      <c r="W289" s="38"/>
      <c r="X289" s="38"/>
      <c r="Y289" s="38"/>
      <c r="Z289" s="38"/>
      <c r="AA289" s="38"/>
      <c r="AB289" s="38"/>
      <c r="AC289" s="38"/>
    </row>
    <row r="290" spans="1:29" ht="12.75">
      <c r="A290" s="38"/>
      <c r="B290" s="38"/>
      <c r="C290" s="40"/>
      <c r="D290" s="41"/>
      <c r="E290" s="40"/>
      <c r="F290" s="41"/>
      <c r="G290" s="40"/>
      <c r="H290" s="41"/>
      <c r="I290" s="39"/>
      <c r="J290" s="39"/>
      <c r="K290" s="40"/>
      <c r="L290" s="41"/>
      <c r="M290" s="38"/>
      <c r="N290" s="15"/>
      <c r="O290" s="15"/>
      <c r="P290" s="15"/>
      <c r="Q290" s="15"/>
      <c r="R290" s="16"/>
      <c r="S290" s="38"/>
      <c r="T290" s="38"/>
      <c r="U290" s="38"/>
      <c r="V290" s="38"/>
      <c r="W290" s="38"/>
      <c r="X290" s="38"/>
      <c r="Y290" s="38"/>
      <c r="Z290" s="38"/>
      <c r="AA290" s="38"/>
      <c r="AB290" s="38"/>
      <c r="AC290" s="38"/>
    </row>
    <row r="291" spans="1:29" ht="12.75">
      <c r="A291" s="38"/>
      <c r="B291" s="38"/>
      <c r="C291" s="40"/>
      <c r="D291" s="41"/>
      <c r="E291" s="40"/>
      <c r="F291" s="41"/>
      <c r="G291" s="40"/>
      <c r="H291" s="41"/>
      <c r="I291" s="39"/>
      <c r="J291" s="39"/>
      <c r="K291" s="40"/>
      <c r="L291" s="41"/>
      <c r="M291" s="38"/>
      <c r="N291" s="15"/>
      <c r="O291" s="15"/>
      <c r="P291" s="15"/>
      <c r="Q291" s="15"/>
      <c r="R291" s="16"/>
      <c r="S291" s="38"/>
      <c r="T291" s="38"/>
      <c r="U291" s="38"/>
      <c r="V291" s="38"/>
      <c r="W291" s="38"/>
      <c r="X291" s="38"/>
      <c r="Y291" s="38"/>
      <c r="Z291" s="38"/>
      <c r="AA291" s="38"/>
      <c r="AB291" s="38"/>
      <c r="AC291" s="38"/>
    </row>
    <row r="292" spans="1:29" ht="12.75">
      <c r="A292" s="38"/>
      <c r="B292" s="38"/>
      <c r="C292" s="40"/>
      <c r="D292" s="41"/>
      <c r="E292" s="40"/>
      <c r="F292" s="41"/>
      <c r="G292" s="40"/>
      <c r="H292" s="41"/>
      <c r="I292" s="39"/>
      <c r="J292" s="39"/>
      <c r="K292" s="40"/>
      <c r="L292" s="41"/>
      <c r="M292" s="38"/>
      <c r="N292" s="15"/>
      <c r="O292" s="15"/>
      <c r="P292" s="15"/>
      <c r="Q292" s="15"/>
      <c r="R292" s="16"/>
      <c r="S292" s="38"/>
      <c r="T292" s="38"/>
      <c r="U292" s="38"/>
      <c r="V292" s="38"/>
      <c r="W292" s="38"/>
      <c r="X292" s="38"/>
      <c r="Y292" s="38"/>
      <c r="Z292" s="38"/>
      <c r="AA292" s="38"/>
      <c r="AB292" s="38"/>
      <c r="AC292" s="38"/>
    </row>
    <row r="293" spans="1:29" ht="12.75">
      <c r="A293" s="38"/>
      <c r="B293" s="38"/>
      <c r="C293" s="40"/>
      <c r="D293" s="41"/>
      <c r="E293" s="40"/>
      <c r="F293" s="41"/>
      <c r="G293" s="40"/>
      <c r="H293" s="41"/>
      <c r="I293" s="39"/>
      <c r="J293" s="39"/>
      <c r="K293" s="40"/>
      <c r="L293" s="41"/>
      <c r="M293" s="38"/>
      <c r="N293" s="15"/>
      <c r="O293" s="15"/>
      <c r="P293" s="15"/>
      <c r="Q293" s="15"/>
      <c r="R293" s="16"/>
      <c r="S293" s="38"/>
      <c r="T293" s="38"/>
      <c r="U293" s="38"/>
      <c r="V293" s="38"/>
      <c r="W293" s="38"/>
      <c r="X293" s="38"/>
      <c r="Y293" s="38"/>
      <c r="Z293" s="38"/>
      <c r="AA293" s="38"/>
      <c r="AB293" s="38"/>
      <c r="AC293" s="38"/>
    </row>
    <row r="294" spans="1:29" ht="12.75">
      <c r="A294" s="38"/>
      <c r="B294" s="38"/>
      <c r="C294" s="40"/>
      <c r="D294" s="41"/>
      <c r="E294" s="40"/>
      <c r="F294" s="41"/>
      <c r="G294" s="40"/>
      <c r="H294" s="41"/>
      <c r="I294" s="39"/>
      <c r="J294" s="39"/>
      <c r="K294" s="40"/>
      <c r="L294" s="41"/>
      <c r="M294" s="38"/>
      <c r="N294" s="15"/>
      <c r="O294" s="15"/>
      <c r="P294" s="15"/>
      <c r="Q294" s="15"/>
      <c r="R294" s="16"/>
      <c r="S294" s="38"/>
      <c r="T294" s="38"/>
      <c r="U294" s="38"/>
      <c r="V294" s="38"/>
      <c r="W294" s="38"/>
      <c r="X294" s="38"/>
      <c r="Y294" s="38"/>
      <c r="Z294" s="38"/>
      <c r="AA294" s="38"/>
      <c r="AB294" s="38"/>
      <c r="AC294" s="38"/>
    </row>
    <row r="295" spans="1:29" ht="12.75">
      <c r="A295" s="38"/>
      <c r="B295" s="38"/>
      <c r="C295" s="40"/>
      <c r="D295" s="41"/>
      <c r="E295" s="40"/>
      <c r="F295" s="41"/>
      <c r="G295" s="40"/>
      <c r="H295" s="41"/>
      <c r="I295" s="39"/>
      <c r="J295" s="39"/>
      <c r="K295" s="40"/>
      <c r="L295" s="41"/>
      <c r="M295" s="38"/>
      <c r="N295" s="15"/>
      <c r="O295" s="15"/>
      <c r="P295" s="15"/>
      <c r="Q295" s="15"/>
      <c r="R295" s="16"/>
      <c r="S295" s="38"/>
      <c r="T295" s="38"/>
      <c r="U295" s="38"/>
      <c r="V295" s="38"/>
      <c r="W295" s="38"/>
      <c r="X295" s="38"/>
      <c r="Y295" s="38"/>
      <c r="Z295" s="38"/>
      <c r="AA295" s="38"/>
      <c r="AB295" s="38"/>
      <c r="AC295" s="38"/>
    </row>
    <row r="296" spans="1:29" ht="12.75">
      <c r="A296" s="38"/>
      <c r="B296" s="38"/>
      <c r="C296" s="40"/>
      <c r="D296" s="41"/>
      <c r="E296" s="40"/>
      <c r="F296" s="41"/>
      <c r="G296" s="40"/>
      <c r="H296" s="41"/>
      <c r="I296" s="39"/>
      <c r="J296" s="39"/>
      <c r="K296" s="40"/>
      <c r="L296" s="41"/>
      <c r="M296" s="38"/>
      <c r="N296" s="15"/>
      <c r="O296" s="15"/>
      <c r="P296" s="15"/>
      <c r="Q296" s="15"/>
      <c r="R296" s="16"/>
      <c r="S296" s="38"/>
      <c r="T296" s="38"/>
      <c r="U296" s="38"/>
      <c r="V296" s="38"/>
      <c r="W296" s="38"/>
      <c r="X296" s="38"/>
      <c r="Y296" s="38"/>
      <c r="Z296" s="38"/>
      <c r="AA296" s="38"/>
      <c r="AB296" s="38"/>
      <c r="AC296" s="38"/>
    </row>
    <row r="297" spans="1:29" ht="12.75">
      <c r="A297" s="38"/>
      <c r="B297" s="38"/>
      <c r="C297" s="40"/>
      <c r="D297" s="41"/>
      <c r="E297" s="40"/>
      <c r="F297" s="41"/>
      <c r="G297" s="40"/>
      <c r="H297" s="41"/>
      <c r="I297" s="39"/>
      <c r="J297" s="39"/>
      <c r="K297" s="40"/>
      <c r="L297" s="41"/>
      <c r="M297" s="38"/>
      <c r="N297" s="15"/>
      <c r="O297" s="15"/>
      <c r="P297" s="15"/>
      <c r="Q297" s="15"/>
      <c r="R297" s="16"/>
      <c r="S297" s="38"/>
      <c r="T297" s="38"/>
      <c r="U297" s="38"/>
      <c r="V297" s="38"/>
      <c r="W297" s="38"/>
      <c r="X297" s="38"/>
      <c r="Y297" s="38"/>
      <c r="Z297" s="38"/>
      <c r="AA297" s="38"/>
      <c r="AB297" s="38"/>
      <c r="AC297" s="38"/>
    </row>
    <row r="298" spans="1:29" ht="12.75">
      <c r="A298" s="38"/>
      <c r="B298" s="38"/>
      <c r="C298" s="40"/>
      <c r="D298" s="41"/>
      <c r="E298" s="40"/>
      <c r="F298" s="41"/>
      <c r="G298" s="40"/>
      <c r="H298" s="41"/>
      <c r="I298" s="39"/>
      <c r="J298" s="39"/>
      <c r="K298" s="40"/>
      <c r="L298" s="41"/>
      <c r="M298" s="38"/>
      <c r="N298" s="15"/>
      <c r="O298" s="15"/>
      <c r="P298" s="15"/>
      <c r="Q298" s="15"/>
      <c r="R298" s="16"/>
      <c r="S298" s="38"/>
      <c r="T298" s="38"/>
      <c r="U298" s="38"/>
      <c r="V298" s="38"/>
      <c r="W298" s="38"/>
      <c r="X298" s="38"/>
      <c r="Y298" s="38"/>
      <c r="Z298" s="38"/>
      <c r="AA298" s="38"/>
      <c r="AB298" s="38"/>
      <c r="AC298" s="38"/>
    </row>
    <row r="299" spans="1:29" ht="12.75">
      <c r="A299" s="38"/>
      <c r="B299" s="38"/>
      <c r="C299" s="40"/>
      <c r="D299" s="41"/>
      <c r="E299" s="40"/>
      <c r="F299" s="41"/>
      <c r="G299" s="40"/>
      <c r="H299" s="41"/>
      <c r="I299" s="39"/>
      <c r="J299" s="39"/>
      <c r="K299" s="40"/>
      <c r="L299" s="41"/>
      <c r="M299" s="38"/>
      <c r="N299" s="15"/>
      <c r="O299" s="15"/>
      <c r="P299" s="15"/>
      <c r="Q299" s="15"/>
      <c r="R299" s="16"/>
      <c r="S299" s="38"/>
      <c r="T299" s="38"/>
      <c r="U299" s="38"/>
      <c r="V299" s="38"/>
      <c r="W299" s="38"/>
      <c r="X299" s="38"/>
      <c r="Y299" s="38"/>
      <c r="Z299" s="38"/>
      <c r="AA299" s="38"/>
      <c r="AB299" s="38"/>
      <c r="AC299" s="38"/>
    </row>
    <row r="300" spans="1:29" ht="12.75">
      <c r="A300" s="38"/>
      <c r="B300" s="38"/>
      <c r="C300" s="40"/>
      <c r="D300" s="41"/>
      <c r="E300" s="40"/>
      <c r="F300" s="41"/>
      <c r="G300" s="40"/>
      <c r="H300" s="41"/>
      <c r="I300" s="39"/>
      <c r="J300" s="39"/>
      <c r="K300" s="40"/>
      <c r="L300" s="41"/>
      <c r="M300" s="38"/>
      <c r="N300" s="15"/>
      <c r="O300" s="15"/>
      <c r="P300" s="15"/>
      <c r="Q300" s="15"/>
      <c r="R300" s="16"/>
      <c r="S300" s="38"/>
      <c r="T300" s="38"/>
      <c r="U300" s="38"/>
      <c r="V300" s="38"/>
      <c r="W300" s="38"/>
      <c r="X300" s="38"/>
      <c r="Y300" s="38"/>
      <c r="Z300" s="38"/>
      <c r="AA300" s="38"/>
      <c r="AB300" s="38"/>
      <c r="AC300" s="38"/>
    </row>
    <row r="301" spans="1:29" ht="12.75">
      <c r="A301" s="38"/>
      <c r="B301" s="38"/>
      <c r="C301" s="40"/>
      <c r="D301" s="41"/>
      <c r="E301" s="40"/>
      <c r="F301" s="41"/>
      <c r="G301" s="40"/>
      <c r="H301" s="41"/>
      <c r="I301" s="39"/>
      <c r="J301" s="39"/>
      <c r="K301" s="40"/>
      <c r="L301" s="41"/>
      <c r="M301" s="38"/>
      <c r="N301" s="15"/>
      <c r="O301" s="15"/>
      <c r="P301" s="15"/>
      <c r="Q301" s="15"/>
      <c r="R301" s="16"/>
      <c r="S301" s="38"/>
      <c r="T301" s="38"/>
      <c r="U301" s="38"/>
      <c r="V301" s="38"/>
      <c r="W301" s="38"/>
      <c r="X301" s="38"/>
      <c r="Y301" s="38"/>
      <c r="Z301" s="38"/>
      <c r="AA301" s="38"/>
      <c r="AB301" s="38"/>
      <c r="AC301" s="38"/>
    </row>
    <row r="302" spans="1:29" ht="12.75">
      <c r="A302" s="38"/>
      <c r="B302" s="38"/>
      <c r="C302" s="40"/>
      <c r="D302" s="41"/>
      <c r="E302" s="40"/>
      <c r="F302" s="41"/>
      <c r="G302" s="40"/>
      <c r="H302" s="41"/>
      <c r="I302" s="39"/>
      <c r="J302" s="39"/>
      <c r="K302" s="40"/>
      <c r="L302" s="41"/>
      <c r="M302" s="38"/>
      <c r="N302" s="15"/>
      <c r="O302" s="15"/>
      <c r="P302" s="15"/>
      <c r="Q302" s="15"/>
      <c r="R302" s="16"/>
      <c r="S302" s="38"/>
      <c r="T302" s="38"/>
      <c r="U302" s="38"/>
      <c r="V302" s="38"/>
      <c r="W302" s="38"/>
      <c r="X302" s="38"/>
      <c r="Y302" s="38"/>
      <c r="Z302" s="38"/>
      <c r="AA302" s="38"/>
      <c r="AB302" s="38"/>
      <c r="AC302" s="38"/>
    </row>
    <row r="303" spans="1:29" ht="12.75">
      <c r="A303" s="38"/>
      <c r="B303" s="38"/>
      <c r="C303" s="40"/>
      <c r="D303" s="41"/>
      <c r="E303" s="40"/>
      <c r="F303" s="41"/>
      <c r="G303" s="40"/>
      <c r="H303" s="41"/>
      <c r="I303" s="39"/>
      <c r="J303" s="39"/>
      <c r="K303" s="40"/>
      <c r="L303" s="41"/>
      <c r="M303" s="38"/>
      <c r="N303" s="15"/>
      <c r="O303" s="15"/>
      <c r="P303" s="15"/>
      <c r="Q303" s="15"/>
      <c r="R303" s="16"/>
      <c r="S303" s="38"/>
      <c r="T303" s="38"/>
      <c r="U303" s="38"/>
      <c r="V303" s="38"/>
      <c r="W303" s="38"/>
      <c r="X303" s="38"/>
      <c r="Y303" s="38"/>
      <c r="Z303" s="38"/>
      <c r="AA303" s="38"/>
      <c r="AB303" s="38"/>
      <c r="AC303" s="38"/>
    </row>
    <row r="304" spans="1:29" ht="12.75">
      <c r="A304" s="38"/>
      <c r="B304" s="38"/>
      <c r="C304" s="40"/>
      <c r="D304" s="41"/>
      <c r="E304" s="40"/>
      <c r="F304" s="41"/>
      <c r="G304" s="40"/>
      <c r="H304" s="41"/>
      <c r="I304" s="39"/>
      <c r="J304" s="39"/>
      <c r="K304" s="40"/>
      <c r="L304" s="41"/>
      <c r="M304" s="38"/>
      <c r="N304" s="15"/>
      <c r="O304" s="15"/>
      <c r="P304" s="15"/>
      <c r="Q304" s="15"/>
      <c r="R304" s="16"/>
      <c r="S304" s="38"/>
      <c r="T304" s="38"/>
      <c r="U304" s="38"/>
      <c r="V304" s="38"/>
      <c r="W304" s="38"/>
      <c r="X304" s="38"/>
      <c r="Y304" s="38"/>
      <c r="Z304" s="38"/>
      <c r="AA304" s="38"/>
      <c r="AB304" s="38"/>
      <c r="AC304" s="38"/>
    </row>
    <row r="305" spans="1:29" ht="12.75">
      <c r="A305" s="38"/>
      <c r="B305" s="38"/>
      <c r="C305" s="40"/>
      <c r="D305" s="41"/>
      <c r="E305" s="40"/>
      <c r="F305" s="41"/>
      <c r="G305" s="40"/>
      <c r="H305" s="41"/>
      <c r="I305" s="39"/>
      <c r="J305" s="39"/>
      <c r="K305" s="40"/>
      <c r="L305" s="41"/>
      <c r="M305" s="38"/>
      <c r="N305" s="15"/>
      <c r="O305" s="15"/>
      <c r="P305" s="15"/>
      <c r="Q305" s="15"/>
      <c r="R305" s="16"/>
      <c r="S305" s="38"/>
      <c r="T305" s="38"/>
      <c r="U305" s="38"/>
      <c r="V305" s="38"/>
      <c r="W305" s="38"/>
      <c r="X305" s="38"/>
      <c r="Y305" s="38"/>
      <c r="Z305" s="38"/>
      <c r="AA305" s="38"/>
      <c r="AB305" s="38"/>
      <c r="AC305" s="38"/>
    </row>
    <row r="306" spans="1:29" ht="12.75">
      <c r="A306" s="38"/>
      <c r="B306" s="38"/>
      <c r="C306" s="40"/>
      <c r="D306" s="41"/>
      <c r="E306" s="40"/>
      <c r="F306" s="41"/>
      <c r="G306" s="40"/>
      <c r="H306" s="41"/>
      <c r="I306" s="39"/>
      <c r="J306" s="39"/>
      <c r="K306" s="40"/>
      <c r="L306" s="41"/>
      <c r="M306" s="38"/>
      <c r="N306" s="15"/>
      <c r="O306" s="15"/>
      <c r="P306" s="15"/>
      <c r="Q306" s="15"/>
      <c r="R306" s="16"/>
      <c r="S306" s="38"/>
      <c r="T306" s="38"/>
      <c r="U306" s="38"/>
      <c r="V306" s="38"/>
      <c r="W306" s="38"/>
      <c r="X306" s="38"/>
      <c r="Y306" s="38"/>
      <c r="Z306" s="38"/>
      <c r="AA306" s="38"/>
      <c r="AB306" s="38"/>
      <c r="AC306" s="38"/>
    </row>
    <row r="307" spans="1:29" ht="12.75">
      <c r="A307" s="38"/>
      <c r="B307" s="38"/>
      <c r="C307" s="40"/>
      <c r="D307" s="41"/>
      <c r="E307" s="40"/>
      <c r="F307" s="41"/>
      <c r="G307" s="40"/>
      <c r="H307" s="41"/>
      <c r="I307" s="39"/>
      <c r="J307" s="39"/>
      <c r="K307" s="40"/>
      <c r="L307" s="41"/>
      <c r="M307" s="38"/>
      <c r="N307" s="15"/>
      <c r="O307" s="15"/>
      <c r="P307" s="15"/>
      <c r="Q307" s="15"/>
      <c r="R307" s="16"/>
      <c r="S307" s="38"/>
      <c r="T307" s="38"/>
      <c r="U307" s="38"/>
      <c r="V307" s="38"/>
      <c r="W307" s="38"/>
      <c r="X307" s="38"/>
      <c r="Y307" s="38"/>
      <c r="Z307" s="38"/>
      <c r="AA307" s="38"/>
      <c r="AB307" s="38"/>
      <c r="AC307" s="38"/>
    </row>
    <row r="308" spans="1:29" ht="12.75">
      <c r="A308" s="38"/>
      <c r="B308" s="38"/>
      <c r="C308" s="40"/>
      <c r="D308" s="41"/>
      <c r="E308" s="40"/>
      <c r="F308" s="41"/>
      <c r="G308" s="40"/>
      <c r="H308" s="41"/>
      <c r="I308" s="39"/>
      <c r="J308" s="39"/>
      <c r="K308" s="40"/>
      <c r="L308" s="41"/>
      <c r="M308" s="38"/>
      <c r="N308" s="15"/>
      <c r="O308" s="15"/>
      <c r="P308" s="15"/>
      <c r="Q308" s="15"/>
      <c r="R308" s="16"/>
      <c r="S308" s="38"/>
      <c r="T308" s="38"/>
      <c r="U308" s="38"/>
      <c r="V308" s="38"/>
      <c r="W308" s="38"/>
      <c r="X308" s="38"/>
      <c r="Y308" s="38"/>
      <c r="Z308" s="38"/>
      <c r="AA308" s="38"/>
      <c r="AB308" s="38"/>
      <c r="AC308" s="38"/>
    </row>
    <row r="309" spans="1:29" ht="12.75">
      <c r="A309" s="38"/>
      <c r="B309" s="38"/>
      <c r="C309" s="40"/>
      <c r="D309" s="41"/>
      <c r="E309" s="40"/>
      <c r="F309" s="41"/>
      <c r="G309" s="40"/>
      <c r="H309" s="41"/>
      <c r="I309" s="39"/>
      <c r="J309" s="39"/>
      <c r="K309" s="40"/>
      <c r="L309" s="41"/>
      <c r="M309" s="38"/>
      <c r="N309" s="15"/>
      <c r="O309" s="15"/>
      <c r="P309" s="15"/>
      <c r="Q309" s="15"/>
      <c r="R309" s="16"/>
      <c r="S309" s="38"/>
      <c r="T309" s="38"/>
      <c r="U309" s="38"/>
      <c r="V309" s="38"/>
      <c r="W309" s="38"/>
      <c r="X309" s="38"/>
      <c r="Y309" s="38"/>
      <c r="Z309" s="38"/>
      <c r="AA309" s="38"/>
      <c r="AB309" s="38"/>
      <c r="AC309" s="38"/>
    </row>
    <row r="310" spans="1:29" ht="12.75">
      <c r="A310" s="38"/>
      <c r="B310" s="38"/>
      <c r="C310" s="40"/>
      <c r="D310" s="41"/>
      <c r="E310" s="40"/>
      <c r="F310" s="41"/>
      <c r="G310" s="40"/>
      <c r="H310" s="41"/>
      <c r="I310" s="39"/>
      <c r="J310" s="39"/>
      <c r="K310" s="40"/>
      <c r="L310" s="41"/>
      <c r="M310" s="38"/>
      <c r="N310" s="15"/>
      <c r="O310" s="15"/>
      <c r="P310" s="15"/>
      <c r="Q310" s="15"/>
      <c r="R310" s="16"/>
      <c r="S310" s="38"/>
      <c r="T310" s="38"/>
      <c r="U310" s="38"/>
      <c r="V310" s="38"/>
      <c r="W310" s="38"/>
      <c r="X310" s="38"/>
      <c r="Y310" s="38"/>
      <c r="Z310" s="38"/>
      <c r="AA310" s="38"/>
      <c r="AB310" s="38"/>
      <c r="AC310" s="38"/>
    </row>
    <row r="311" spans="1:29" ht="12.75">
      <c r="A311" s="38"/>
      <c r="B311" s="38"/>
      <c r="C311" s="40"/>
      <c r="D311" s="41"/>
      <c r="E311" s="40"/>
      <c r="F311" s="41"/>
      <c r="G311" s="40"/>
      <c r="H311" s="41"/>
      <c r="I311" s="39"/>
      <c r="J311" s="39"/>
      <c r="K311" s="40"/>
      <c r="L311" s="41"/>
      <c r="M311" s="38"/>
      <c r="N311" s="15"/>
      <c r="O311" s="15"/>
      <c r="P311" s="15"/>
      <c r="Q311" s="15"/>
      <c r="R311" s="16"/>
      <c r="S311" s="38"/>
      <c r="T311" s="38"/>
      <c r="U311" s="38"/>
      <c r="V311" s="38"/>
      <c r="W311" s="38"/>
      <c r="X311" s="38"/>
      <c r="Y311" s="38"/>
      <c r="Z311" s="38"/>
      <c r="AA311" s="38"/>
      <c r="AB311" s="38"/>
      <c r="AC311" s="38"/>
    </row>
    <row r="312" spans="1:29" ht="12.75">
      <c r="A312" s="38"/>
      <c r="B312" s="38"/>
      <c r="C312" s="40"/>
      <c r="D312" s="41"/>
      <c r="E312" s="40"/>
      <c r="F312" s="41"/>
      <c r="G312" s="40"/>
      <c r="H312" s="41"/>
      <c r="I312" s="39"/>
      <c r="J312" s="39"/>
      <c r="K312" s="40"/>
      <c r="L312" s="41"/>
      <c r="M312" s="38"/>
      <c r="N312" s="15"/>
      <c r="O312" s="15"/>
      <c r="P312" s="15"/>
      <c r="Q312" s="15"/>
      <c r="R312" s="16"/>
      <c r="S312" s="38"/>
      <c r="T312" s="38"/>
      <c r="U312" s="38"/>
      <c r="V312" s="38"/>
      <c r="W312" s="38"/>
      <c r="X312" s="38"/>
      <c r="Y312" s="38"/>
      <c r="Z312" s="38"/>
      <c r="AA312" s="38"/>
      <c r="AB312" s="38"/>
      <c r="AC312" s="38"/>
    </row>
    <row r="313" spans="1:29" ht="12.75">
      <c r="A313" s="38"/>
      <c r="B313" s="38"/>
      <c r="C313" s="40"/>
      <c r="D313" s="41"/>
      <c r="E313" s="40"/>
      <c r="F313" s="41"/>
      <c r="G313" s="40"/>
      <c r="H313" s="41"/>
      <c r="I313" s="39"/>
      <c r="J313" s="39"/>
      <c r="K313" s="40"/>
      <c r="L313" s="41"/>
      <c r="M313" s="38"/>
      <c r="N313" s="15"/>
      <c r="O313" s="15"/>
      <c r="P313" s="15"/>
      <c r="Q313" s="15"/>
      <c r="R313" s="16"/>
      <c r="S313" s="38"/>
      <c r="T313" s="38"/>
      <c r="U313" s="38"/>
      <c r="V313" s="38"/>
      <c r="W313" s="38"/>
      <c r="X313" s="38"/>
      <c r="Y313" s="38"/>
      <c r="Z313" s="38"/>
      <c r="AA313" s="38"/>
      <c r="AB313" s="38"/>
      <c r="AC313" s="38"/>
    </row>
    <row r="314" spans="1:29" ht="12.75">
      <c r="A314" s="38"/>
      <c r="B314" s="38"/>
      <c r="C314" s="40"/>
      <c r="D314" s="41"/>
      <c r="E314" s="40"/>
      <c r="F314" s="41"/>
      <c r="G314" s="40"/>
      <c r="H314" s="41"/>
      <c r="I314" s="39"/>
      <c r="J314" s="39"/>
      <c r="K314" s="40"/>
      <c r="L314" s="41"/>
      <c r="M314" s="38"/>
      <c r="N314" s="15"/>
      <c r="O314" s="15"/>
      <c r="P314" s="15"/>
      <c r="Q314" s="15"/>
      <c r="R314" s="16"/>
      <c r="S314" s="38"/>
      <c r="T314" s="38"/>
      <c r="U314" s="38"/>
      <c r="V314" s="38"/>
      <c r="W314" s="38"/>
      <c r="X314" s="38"/>
      <c r="Y314" s="38"/>
      <c r="Z314" s="38"/>
      <c r="AA314" s="38"/>
      <c r="AB314" s="38"/>
      <c r="AC314" s="38"/>
    </row>
    <row r="315" spans="1:29" ht="12.75">
      <c r="A315" s="38"/>
      <c r="B315" s="38"/>
      <c r="C315" s="40"/>
      <c r="D315" s="41"/>
      <c r="E315" s="40"/>
      <c r="F315" s="41"/>
      <c r="G315" s="40"/>
      <c r="H315" s="41"/>
      <c r="I315" s="39"/>
      <c r="J315" s="39"/>
      <c r="K315" s="40"/>
      <c r="L315" s="41"/>
      <c r="M315" s="38"/>
      <c r="N315" s="15"/>
      <c r="O315" s="15"/>
      <c r="P315" s="15"/>
      <c r="Q315" s="15"/>
      <c r="R315" s="16"/>
      <c r="S315" s="38"/>
      <c r="T315" s="38"/>
      <c r="U315" s="38"/>
      <c r="V315" s="38"/>
      <c r="W315" s="38"/>
      <c r="X315" s="38"/>
      <c r="Y315" s="38"/>
      <c r="Z315" s="38"/>
      <c r="AA315" s="38"/>
      <c r="AB315" s="38"/>
      <c r="AC315" s="38"/>
    </row>
    <row r="316" spans="1:29" ht="12.75">
      <c r="A316" s="38"/>
      <c r="B316" s="38"/>
      <c r="C316" s="40"/>
      <c r="D316" s="41"/>
      <c r="E316" s="40"/>
      <c r="F316" s="41"/>
      <c r="G316" s="40"/>
      <c r="H316" s="41"/>
      <c r="I316" s="39"/>
      <c r="J316" s="39"/>
      <c r="K316" s="40"/>
      <c r="L316" s="41"/>
      <c r="M316" s="38"/>
      <c r="N316" s="15"/>
      <c r="O316" s="15"/>
      <c r="P316" s="15"/>
      <c r="Q316" s="15"/>
      <c r="R316" s="16"/>
      <c r="S316" s="38"/>
      <c r="T316" s="38"/>
      <c r="U316" s="38"/>
      <c r="V316" s="38"/>
      <c r="W316" s="38"/>
      <c r="X316" s="38"/>
      <c r="Y316" s="38"/>
      <c r="Z316" s="38"/>
      <c r="AA316" s="38"/>
      <c r="AB316" s="38"/>
      <c r="AC316" s="38"/>
    </row>
    <row r="317" spans="1:29" ht="12.75">
      <c r="A317" s="38"/>
      <c r="B317" s="38"/>
      <c r="C317" s="40"/>
      <c r="D317" s="41"/>
      <c r="E317" s="40"/>
      <c r="F317" s="41"/>
      <c r="G317" s="40"/>
      <c r="H317" s="41"/>
      <c r="I317" s="39"/>
      <c r="J317" s="39"/>
      <c r="K317" s="40"/>
      <c r="L317" s="41"/>
      <c r="M317" s="38"/>
      <c r="N317" s="15"/>
      <c r="O317" s="15"/>
      <c r="P317" s="15"/>
      <c r="Q317" s="15"/>
      <c r="R317" s="16"/>
      <c r="S317" s="38"/>
      <c r="T317" s="38"/>
      <c r="U317" s="38"/>
      <c r="V317" s="38"/>
      <c r="W317" s="38"/>
      <c r="X317" s="38"/>
      <c r="Y317" s="38"/>
      <c r="Z317" s="38"/>
      <c r="AA317" s="38"/>
      <c r="AB317" s="38"/>
      <c r="AC317" s="38"/>
    </row>
    <row r="318" spans="1:29" ht="12.75">
      <c r="A318" s="38"/>
      <c r="B318" s="38"/>
      <c r="C318" s="40"/>
      <c r="D318" s="41"/>
      <c r="E318" s="40"/>
      <c r="F318" s="41"/>
      <c r="G318" s="40"/>
      <c r="H318" s="41"/>
      <c r="I318" s="39"/>
      <c r="J318" s="39"/>
      <c r="K318" s="40"/>
      <c r="L318" s="41"/>
      <c r="M318" s="38"/>
      <c r="N318" s="15"/>
      <c r="O318" s="15"/>
      <c r="P318" s="15"/>
      <c r="Q318" s="15"/>
      <c r="R318" s="16"/>
      <c r="S318" s="38"/>
      <c r="T318" s="38"/>
      <c r="U318" s="38"/>
      <c r="V318" s="38"/>
      <c r="W318" s="38"/>
      <c r="X318" s="38"/>
      <c r="Y318" s="38"/>
      <c r="Z318" s="38"/>
      <c r="AA318" s="38"/>
      <c r="AB318" s="38"/>
      <c r="AC318" s="38"/>
    </row>
    <row r="319" spans="1:29" ht="12.75">
      <c r="A319" s="38"/>
      <c r="B319" s="38"/>
      <c r="C319" s="40"/>
      <c r="D319" s="41"/>
      <c r="E319" s="40"/>
      <c r="F319" s="41"/>
      <c r="G319" s="40"/>
      <c r="H319" s="41"/>
      <c r="I319" s="39"/>
      <c r="J319" s="39"/>
      <c r="K319" s="40"/>
      <c r="L319" s="41"/>
      <c r="M319" s="38"/>
      <c r="N319" s="15"/>
      <c r="O319" s="15"/>
      <c r="P319" s="15"/>
      <c r="Q319" s="15"/>
      <c r="R319" s="16"/>
      <c r="S319" s="38"/>
      <c r="T319" s="38"/>
      <c r="U319" s="38"/>
      <c r="V319" s="38"/>
      <c r="W319" s="38"/>
      <c r="X319" s="38"/>
      <c r="Y319" s="38"/>
      <c r="Z319" s="38"/>
      <c r="AA319" s="38"/>
      <c r="AB319" s="38"/>
      <c r="AC319" s="38"/>
    </row>
    <row r="320" spans="1:29" ht="12.75">
      <c r="A320" s="38"/>
      <c r="B320" s="38"/>
      <c r="C320" s="40"/>
      <c r="D320" s="41"/>
      <c r="E320" s="40"/>
      <c r="F320" s="41"/>
      <c r="G320" s="40"/>
      <c r="H320" s="41"/>
      <c r="I320" s="39"/>
      <c r="J320" s="39"/>
      <c r="K320" s="40"/>
      <c r="L320" s="41"/>
      <c r="M320" s="38"/>
      <c r="N320" s="15"/>
      <c r="O320" s="15"/>
      <c r="P320" s="15"/>
      <c r="Q320" s="15"/>
      <c r="R320" s="16"/>
      <c r="S320" s="38"/>
      <c r="T320" s="38"/>
      <c r="U320" s="38"/>
      <c r="V320" s="38"/>
      <c r="W320" s="38"/>
      <c r="X320" s="38"/>
      <c r="Y320" s="38"/>
      <c r="Z320" s="38"/>
      <c r="AA320" s="38"/>
      <c r="AB320" s="38"/>
      <c r="AC320" s="38"/>
    </row>
    <row r="321" spans="1:29" ht="12.75">
      <c r="A321" s="38"/>
      <c r="B321" s="38"/>
      <c r="C321" s="40"/>
      <c r="D321" s="41"/>
      <c r="E321" s="40"/>
      <c r="F321" s="41"/>
      <c r="G321" s="40"/>
      <c r="H321" s="41"/>
      <c r="I321" s="39"/>
      <c r="J321" s="39"/>
      <c r="K321" s="40"/>
      <c r="L321" s="41"/>
      <c r="M321" s="38"/>
      <c r="N321" s="15"/>
      <c r="O321" s="15"/>
      <c r="P321" s="15"/>
      <c r="Q321" s="15"/>
      <c r="R321" s="16"/>
      <c r="S321" s="38"/>
      <c r="T321" s="38"/>
      <c r="U321" s="38"/>
      <c r="V321" s="38"/>
      <c r="W321" s="38"/>
      <c r="X321" s="38"/>
      <c r="Y321" s="38"/>
      <c r="Z321" s="38"/>
      <c r="AA321" s="38"/>
      <c r="AB321" s="38"/>
      <c r="AC321" s="38"/>
    </row>
    <row r="322" spans="1:29" ht="12.75">
      <c r="A322" s="38"/>
      <c r="B322" s="38"/>
      <c r="C322" s="40"/>
      <c r="D322" s="41"/>
      <c r="E322" s="40"/>
      <c r="F322" s="41"/>
      <c r="G322" s="40"/>
      <c r="H322" s="41"/>
      <c r="I322" s="39"/>
      <c r="J322" s="39"/>
      <c r="K322" s="40"/>
      <c r="L322" s="41"/>
      <c r="M322" s="38"/>
      <c r="N322" s="15"/>
      <c r="O322" s="15"/>
      <c r="P322" s="15"/>
      <c r="Q322" s="15"/>
      <c r="R322" s="16"/>
      <c r="S322" s="38"/>
      <c r="T322" s="38"/>
      <c r="U322" s="38"/>
      <c r="V322" s="38"/>
      <c r="W322" s="38"/>
      <c r="X322" s="38"/>
      <c r="Y322" s="38"/>
      <c r="Z322" s="38"/>
      <c r="AA322" s="38"/>
      <c r="AB322" s="38"/>
      <c r="AC322" s="38"/>
    </row>
    <row r="323" spans="1:29" ht="12.75">
      <c r="A323" s="38"/>
      <c r="B323" s="38"/>
      <c r="C323" s="40"/>
      <c r="D323" s="41"/>
      <c r="E323" s="40"/>
      <c r="F323" s="41"/>
      <c r="G323" s="40"/>
      <c r="H323" s="41"/>
      <c r="I323" s="39"/>
      <c r="J323" s="39"/>
      <c r="K323" s="40"/>
      <c r="L323" s="41"/>
      <c r="M323" s="38"/>
      <c r="N323" s="15"/>
      <c r="O323" s="15"/>
      <c r="P323" s="15"/>
      <c r="Q323" s="15"/>
      <c r="R323" s="16"/>
      <c r="S323" s="38"/>
      <c r="T323" s="38"/>
      <c r="U323" s="38"/>
      <c r="V323" s="38"/>
      <c r="W323" s="38"/>
      <c r="X323" s="38"/>
      <c r="Y323" s="38"/>
      <c r="Z323" s="38"/>
      <c r="AA323" s="38"/>
      <c r="AB323" s="38"/>
      <c r="AC323" s="38"/>
    </row>
    <row r="324" spans="1:29" ht="12.75">
      <c r="A324" s="38"/>
      <c r="B324" s="38"/>
      <c r="C324" s="40"/>
      <c r="D324" s="41"/>
      <c r="E324" s="40"/>
      <c r="F324" s="41"/>
      <c r="G324" s="40"/>
      <c r="H324" s="41"/>
      <c r="I324" s="39"/>
      <c r="J324" s="39"/>
      <c r="K324" s="40"/>
      <c r="L324" s="41"/>
      <c r="M324" s="38"/>
      <c r="N324" s="15"/>
      <c r="O324" s="15"/>
      <c r="P324" s="15"/>
      <c r="Q324" s="15"/>
      <c r="R324" s="16"/>
      <c r="S324" s="38"/>
      <c r="T324" s="38"/>
      <c r="U324" s="38"/>
      <c r="V324" s="38"/>
      <c r="W324" s="38"/>
      <c r="X324" s="38"/>
      <c r="Y324" s="38"/>
      <c r="Z324" s="38"/>
      <c r="AA324" s="38"/>
      <c r="AB324" s="38"/>
      <c r="AC324" s="38"/>
    </row>
    <row r="325" spans="1:29" ht="12.75">
      <c r="A325" s="38"/>
      <c r="B325" s="38"/>
      <c r="C325" s="40"/>
      <c r="D325" s="41"/>
      <c r="E325" s="40"/>
      <c r="F325" s="41"/>
      <c r="G325" s="40"/>
      <c r="H325" s="41"/>
      <c r="I325" s="39"/>
      <c r="J325" s="39"/>
      <c r="K325" s="40"/>
      <c r="L325" s="41"/>
      <c r="M325" s="38"/>
      <c r="N325" s="15"/>
      <c r="O325" s="15"/>
      <c r="P325" s="15"/>
      <c r="Q325" s="15"/>
      <c r="R325" s="16"/>
      <c r="S325" s="38"/>
      <c r="T325" s="38"/>
      <c r="U325" s="38"/>
      <c r="V325" s="38"/>
      <c r="W325" s="38"/>
      <c r="X325" s="38"/>
      <c r="Y325" s="38"/>
      <c r="Z325" s="38"/>
      <c r="AA325" s="38"/>
      <c r="AB325" s="38"/>
      <c r="AC325" s="38"/>
    </row>
    <row r="326" spans="1:29" ht="12.75">
      <c r="A326" s="38"/>
      <c r="B326" s="38"/>
      <c r="C326" s="40"/>
      <c r="D326" s="41"/>
      <c r="E326" s="40"/>
      <c r="F326" s="41"/>
      <c r="G326" s="40"/>
      <c r="H326" s="41"/>
      <c r="I326" s="39"/>
      <c r="J326" s="39"/>
      <c r="K326" s="40"/>
      <c r="L326" s="41"/>
      <c r="M326" s="38"/>
      <c r="N326" s="15"/>
      <c r="O326" s="15"/>
      <c r="P326" s="15"/>
      <c r="Q326" s="15"/>
      <c r="R326" s="16"/>
      <c r="S326" s="38"/>
      <c r="T326" s="38"/>
      <c r="U326" s="38"/>
      <c r="V326" s="38"/>
      <c r="W326" s="38"/>
      <c r="X326" s="38"/>
      <c r="Y326" s="38"/>
      <c r="Z326" s="38"/>
      <c r="AA326" s="38"/>
      <c r="AB326" s="38"/>
      <c r="AC326" s="38"/>
    </row>
    <row r="327" spans="1:29" ht="12.75">
      <c r="A327" s="38"/>
      <c r="B327" s="38"/>
      <c r="C327" s="40"/>
      <c r="D327" s="41"/>
      <c r="E327" s="40"/>
      <c r="F327" s="41"/>
      <c r="G327" s="40"/>
      <c r="H327" s="41"/>
      <c r="I327" s="39"/>
      <c r="J327" s="39"/>
      <c r="K327" s="40"/>
      <c r="L327" s="41"/>
      <c r="M327" s="38"/>
      <c r="N327" s="15"/>
      <c r="O327" s="15"/>
      <c r="P327" s="15"/>
      <c r="Q327" s="15"/>
      <c r="R327" s="16"/>
      <c r="S327" s="38"/>
      <c r="T327" s="38"/>
      <c r="U327" s="38"/>
      <c r="V327" s="38"/>
      <c r="W327" s="38"/>
      <c r="X327" s="38"/>
      <c r="Y327" s="38"/>
      <c r="Z327" s="38"/>
      <c r="AA327" s="38"/>
      <c r="AB327" s="38"/>
      <c r="AC327" s="38"/>
    </row>
    <row r="328" spans="1:29" ht="12.75">
      <c r="A328" s="38"/>
      <c r="B328" s="38"/>
      <c r="C328" s="40"/>
      <c r="D328" s="41"/>
      <c r="E328" s="40"/>
      <c r="F328" s="41"/>
      <c r="G328" s="40"/>
      <c r="H328" s="41"/>
      <c r="I328" s="39"/>
      <c r="J328" s="39"/>
      <c r="K328" s="40"/>
      <c r="L328" s="41"/>
      <c r="M328" s="38"/>
      <c r="N328" s="15"/>
      <c r="O328" s="15"/>
      <c r="P328" s="15"/>
      <c r="Q328" s="15"/>
      <c r="R328" s="16"/>
      <c r="S328" s="38"/>
      <c r="T328" s="38"/>
      <c r="U328" s="38"/>
      <c r="V328" s="38"/>
      <c r="W328" s="38"/>
      <c r="X328" s="38"/>
      <c r="Y328" s="38"/>
      <c r="Z328" s="38"/>
      <c r="AA328" s="38"/>
      <c r="AB328" s="38"/>
      <c r="AC328" s="38"/>
    </row>
    <row r="329" spans="1:29" ht="12.75">
      <c r="A329" s="38"/>
      <c r="B329" s="38"/>
      <c r="C329" s="40"/>
      <c r="D329" s="41"/>
      <c r="E329" s="40"/>
      <c r="F329" s="41"/>
      <c r="G329" s="40"/>
      <c r="H329" s="41"/>
      <c r="I329" s="39"/>
      <c r="J329" s="39"/>
      <c r="K329" s="40"/>
      <c r="L329" s="41"/>
      <c r="M329" s="38"/>
      <c r="N329" s="15"/>
      <c r="O329" s="15"/>
      <c r="P329" s="15"/>
      <c r="Q329" s="15"/>
      <c r="R329" s="16"/>
      <c r="S329" s="38"/>
      <c r="T329" s="38"/>
      <c r="U329" s="38"/>
      <c r="V329" s="38"/>
      <c r="W329" s="38"/>
      <c r="X329" s="38"/>
      <c r="Y329" s="38"/>
      <c r="Z329" s="38"/>
      <c r="AA329" s="38"/>
      <c r="AB329" s="38"/>
      <c r="AC329" s="38"/>
    </row>
    <row r="330" spans="1:29" ht="12.75">
      <c r="A330" s="38"/>
      <c r="B330" s="38"/>
      <c r="C330" s="40"/>
      <c r="D330" s="41"/>
      <c r="E330" s="40"/>
      <c r="F330" s="41"/>
      <c r="G330" s="40"/>
      <c r="H330" s="41"/>
      <c r="I330" s="39"/>
      <c r="J330" s="39"/>
      <c r="K330" s="40"/>
      <c r="L330" s="41"/>
      <c r="M330" s="38"/>
      <c r="N330" s="15"/>
      <c r="O330" s="15"/>
      <c r="P330" s="15"/>
      <c r="Q330" s="15"/>
      <c r="R330" s="16"/>
      <c r="S330" s="38"/>
      <c r="T330" s="38"/>
      <c r="U330" s="38"/>
      <c r="V330" s="38"/>
      <c r="W330" s="38"/>
      <c r="X330" s="38"/>
      <c r="Y330" s="38"/>
      <c r="Z330" s="38"/>
      <c r="AA330" s="38"/>
      <c r="AB330" s="38"/>
      <c r="AC330" s="38"/>
    </row>
    <row r="331" spans="1:29" ht="12.75">
      <c r="A331" s="38"/>
      <c r="B331" s="38"/>
      <c r="C331" s="40"/>
      <c r="D331" s="41"/>
      <c r="E331" s="40"/>
      <c r="F331" s="41"/>
      <c r="G331" s="40"/>
      <c r="H331" s="41"/>
      <c r="I331" s="39"/>
      <c r="J331" s="39"/>
      <c r="K331" s="40"/>
      <c r="L331" s="41"/>
      <c r="M331" s="38"/>
      <c r="N331" s="15"/>
      <c r="O331" s="15"/>
      <c r="P331" s="15"/>
      <c r="Q331" s="15"/>
      <c r="R331" s="16"/>
      <c r="S331" s="38"/>
      <c r="T331" s="38"/>
      <c r="U331" s="38"/>
      <c r="V331" s="38"/>
      <c r="W331" s="38"/>
      <c r="X331" s="38"/>
      <c r="Y331" s="38"/>
      <c r="Z331" s="38"/>
      <c r="AA331" s="38"/>
      <c r="AB331" s="38"/>
      <c r="AC331" s="38"/>
    </row>
    <row r="332" spans="1:29" ht="12.75">
      <c r="A332" s="38"/>
      <c r="B332" s="38"/>
      <c r="C332" s="40"/>
      <c r="D332" s="41"/>
      <c r="E332" s="40"/>
      <c r="F332" s="41"/>
      <c r="G332" s="40"/>
      <c r="H332" s="41"/>
      <c r="I332" s="39"/>
      <c r="J332" s="39"/>
      <c r="K332" s="40"/>
      <c r="L332" s="41"/>
      <c r="M332" s="38"/>
      <c r="N332" s="15"/>
      <c r="O332" s="15"/>
      <c r="P332" s="15"/>
      <c r="Q332" s="15"/>
      <c r="R332" s="16"/>
      <c r="S332" s="38"/>
      <c r="T332" s="38"/>
      <c r="U332" s="38"/>
      <c r="V332" s="38"/>
      <c r="W332" s="38"/>
      <c r="X332" s="38"/>
      <c r="Y332" s="38"/>
      <c r="Z332" s="38"/>
      <c r="AA332" s="38"/>
      <c r="AB332" s="38"/>
      <c r="AC332" s="38"/>
    </row>
    <row r="333" spans="1:29" ht="12.75">
      <c r="A333" s="38"/>
      <c r="B333" s="38"/>
      <c r="C333" s="40"/>
      <c r="D333" s="41"/>
      <c r="E333" s="40"/>
      <c r="F333" s="41"/>
      <c r="G333" s="40"/>
      <c r="H333" s="41"/>
      <c r="I333" s="39"/>
      <c r="J333" s="39"/>
      <c r="K333" s="40"/>
      <c r="L333" s="41"/>
      <c r="M333" s="38"/>
      <c r="N333" s="15"/>
      <c r="O333" s="15"/>
      <c r="P333" s="15"/>
      <c r="Q333" s="15"/>
      <c r="R333" s="16"/>
      <c r="S333" s="38"/>
      <c r="T333" s="38"/>
      <c r="U333" s="38"/>
      <c r="V333" s="38"/>
      <c r="W333" s="38"/>
      <c r="X333" s="38"/>
      <c r="Y333" s="38"/>
      <c r="Z333" s="38"/>
      <c r="AA333" s="38"/>
      <c r="AB333" s="38"/>
      <c r="AC333" s="38"/>
    </row>
    <row r="334" spans="1:29" ht="12.75">
      <c r="A334" s="38"/>
      <c r="B334" s="38"/>
      <c r="C334" s="40"/>
      <c r="D334" s="41"/>
      <c r="E334" s="40"/>
      <c r="F334" s="41"/>
      <c r="G334" s="40"/>
      <c r="H334" s="41"/>
      <c r="I334" s="39"/>
      <c r="J334" s="39"/>
      <c r="K334" s="40"/>
      <c r="L334" s="41"/>
      <c r="M334" s="38"/>
      <c r="N334" s="15"/>
      <c r="O334" s="15"/>
      <c r="P334" s="15"/>
      <c r="Q334" s="15"/>
      <c r="R334" s="16"/>
      <c r="S334" s="38"/>
      <c r="T334" s="38"/>
      <c r="U334" s="38"/>
      <c r="V334" s="38"/>
      <c r="W334" s="38"/>
      <c r="X334" s="38"/>
      <c r="Y334" s="38"/>
      <c r="Z334" s="38"/>
      <c r="AA334" s="38"/>
      <c r="AB334" s="38"/>
      <c r="AC334" s="38"/>
    </row>
    <row r="335" spans="1:29" ht="12.75">
      <c r="A335" s="38"/>
      <c r="B335" s="38"/>
      <c r="C335" s="40"/>
      <c r="D335" s="41"/>
      <c r="E335" s="40"/>
      <c r="F335" s="41"/>
      <c r="G335" s="40"/>
      <c r="H335" s="41"/>
      <c r="I335" s="39"/>
      <c r="J335" s="39"/>
      <c r="K335" s="40"/>
      <c r="L335" s="41"/>
      <c r="M335" s="38"/>
      <c r="N335" s="15"/>
      <c r="O335" s="15"/>
      <c r="P335" s="15"/>
      <c r="Q335" s="15"/>
      <c r="R335" s="16"/>
      <c r="S335" s="38"/>
      <c r="T335" s="38"/>
      <c r="U335" s="38"/>
      <c r="V335" s="38"/>
      <c r="W335" s="38"/>
      <c r="X335" s="38"/>
      <c r="Y335" s="38"/>
      <c r="Z335" s="38"/>
      <c r="AA335" s="38"/>
      <c r="AB335" s="38"/>
      <c r="AC335" s="38"/>
    </row>
    <row r="336" spans="1:29" ht="12.75">
      <c r="A336" s="38"/>
      <c r="B336" s="38"/>
      <c r="C336" s="40"/>
      <c r="D336" s="41"/>
      <c r="E336" s="40"/>
      <c r="F336" s="41"/>
      <c r="G336" s="40"/>
      <c r="H336" s="41"/>
      <c r="I336" s="39"/>
      <c r="J336" s="39"/>
      <c r="K336" s="40"/>
      <c r="L336" s="41"/>
      <c r="M336" s="38"/>
      <c r="N336" s="15"/>
      <c r="O336" s="15"/>
      <c r="P336" s="15"/>
      <c r="Q336" s="15"/>
      <c r="R336" s="16"/>
      <c r="S336" s="38"/>
      <c r="T336" s="38"/>
      <c r="U336" s="38"/>
      <c r="V336" s="38"/>
      <c r="W336" s="38"/>
      <c r="X336" s="38"/>
      <c r="Y336" s="38"/>
      <c r="Z336" s="38"/>
      <c r="AA336" s="38"/>
      <c r="AB336" s="38"/>
      <c r="AC336" s="38"/>
    </row>
    <row r="337" spans="1:29" ht="12.75">
      <c r="A337" s="38"/>
      <c r="B337" s="38"/>
      <c r="C337" s="40"/>
      <c r="D337" s="41"/>
      <c r="E337" s="40"/>
      <c r="F337" s="41"/>
      <c r="G337" s="40"/>
      <c r="H337" s="41"/>
      <c r="I337" s="39"/>
      <c r="J337" s="39"/>
      <c r="K337" s="40"/>
      <c r="L337" s="41"/>
      <c r="M337" s="38"/>
      <c r="N337" s="15"/>
      <c r="O337" s="15"/>
      <c r="P337" s="15"/>
      <c r="Q337" s="15"/>
      <c r="R337" s="16"/>
      <c r="S337" s="38"/>
      <c r="T337" s="38"/>
      <c r="U337" s="38"/>
      <c r="V337" s="38"/>
      <c r="W337" s="38"/>
      <c r="X337" s="38"/>
      <c r="Y337" s="38"/>
      <c r="Z337" s="38"/>
      <c r="AA337" s="38"/>
      <c r="AB337" s="38"/>
      <c r="AC337" s="38"/>
    </row>
    <row r="338" spans="1:29" ht="12.75">
      <c r="A338" s="38"/>
      <c r="B338" s="38"/>
      <c r="C338" s="40"/>
      <c r="D338" s="41"/>
      <c r="E338" s="40"/>
      <c r="F338" s="41"/>
      <c r="G338" s="40"/>
      <c r="H338" s="41"/>
      <c r="I338" s="39"/>
      <c r="J338" s="39"/>
      <c r="K338" s="40"/>
      <c r="L338" s="41"/>
      <c r="M338" s="38"/>
      <c r="N338" s="15"/>
      <c r="O338" s="15"/>
      <c r="P338" s="15"/>
      <c r="Q338" s="15"/>
      <c r="R338" s="16"/>
      <c r="S338" s="38"/>
      <c r="T338" s="38"/>
      <c r="U338" s="38"/>
      <c r="V338" s="38"/>
      <c r="W338" s="38"/>
      <c r="X338" s="38"/>
      <c r="Y338" s="38"/>
      <c r="Z338" s="38"/>
      <c r="AA338" s="38"/>
      <c r="AB338" s="38"/>
      <c r="AC338" s="38"/>
    </row>
    <row r="339" spans="1:29" ht="12.75">
      <c r="A339" s="38"/>
      <c r="B339" s="38"/>
      <c r="C339" s="40"/>
      <c r="D339" s="41"/>
      <c r="E339" s="40"/>
      <c r="F339" s="41"/>
      <c r="G339" s="40"/>
      <c r="H339" s="41"/>
      <c r="I339" s="39"/>
      <c r="J339" s="39"/>
      <c r="K339" s="40"/>
      <c r="L339" s="41"/>
      <c r="M339" s="38"/>
      <c r="N339" s="15"/>
      <c r="O339" s="15"/>
      <c r="P339" s="15"/>
      <c r="Q339" s="15"/>
      <c r="R339" s="16"/>
      <c r="S339" s="38"/>
      <c r="T339" s="38"/>
      <c r="U339" s="38"/>
      <c r="V339" s="38"/>
      <c r="W339" s="38"/>
      <c r="X339" s="38"/>
      <c r="Y339" s="38"/>
      <c r="Z339" s="38"/>
      <c r="AA339" s="38"/>
      <c r="AB339" s="38"/>
      <c r="AC339" s="38"/>
    </row>
    <row r="340" spans="1:29" ht="12.75">
      <c r="A340" s="38"/>
      <c r="B340" s="38"/>
      <c r="C340" s="40"/>
      <c r="D340" s="41"/>
      <c r="E340" s="40"/>
      <c r="F340" s="41"/>
      <c r="G340" s="40"/>
      <c r="H340" s="41"/>
      <c r="I340" s="39"/>
      <c r="J340" s="39"/>
      <c r="K340" s="40"/>
      <c r="L340" s="41"/>
      <c r="M340" s="38"/>
      <c r="N340" s="15"/>
      <c r="O340" s="15"/>
      <c r="P340" s="15"/>
      <c r="Q340" s="15"/>
      <c r="R340" s="16"/>
      <c r="S340" s="38"/>
      <c r="T340" s="38"/>
      <c r="U340" s="38"/>
      <c r="V340" s="38"/>
      <c r="W340" s="38"/>
      <c r="X340" s="38"/>
      <c r="Y340" s="38"/>
      <c r="Z340" s="38"/>
      <c r="AA340" s="38"/>
      <c r="AB340" s="38"/>
      <c r="AC340" s="38"/>
    </row>
    <row r="341" spans="1:29" ht="12.75">
      <c r="A341" s="38"/>
      <c r="B341" s="38"/>
      <c r="C341" s="40"/>
      <c r="D341" s="41"/>
      <c r="E341" s="40"/>
      <c r="F341" s="41"/>
      <c r="G341" s="40"/>
      <c r="H341" s="41"/>
      <c r="I341" s="39"/>
      <c r="J341" s="39"/>
      <c r="K341" s="40"/>
      <c r="L341" s="41"/>
      <c r="M341" s="38"/>
      <c r="N341" s="15"/>
      <c r="O341" s="15"/>
      <c r="P341" s="15"/>
      <c r="Q341" s="15"/>
      <c r="R341" s="16"/>
      <c r="S341" s="38"/>
      <c r="T341" s="38"/>
      <c r="U341" s="38"/>
      <c r="V341" s="38"/>
      <c r="W341" s="38"/>
      <c r="X341" s="38"/>
      <c r="Y341" s="38"/>
      <c r="Z341" s="38"/>
      <c r="AA341" s="38"/>
      <c r="AB341" s="38"/>
      <c r="AC341" s="38"/>
    </row>
    <row r="342" spans="1:29" ht="12.75">
      <c r="A342" s="38"/>
      <c r="B342" s="38"/>
      <c r="C342" s="40"/>
      <c r="D342" s="41"/>
      <c r="E342" s="40"/>
      <c r="F342" s="41"/>
      <c r="G342" s="40"/>
      <c r="H342" s="41"/>
      <c r="I342" s="39"/>
      <c r="J342" s="39"/>
      <c r="K342" s="40"/>
      <c r="L342" s="41"/>
      <c r="M342" s="38"/>
      <c r="N342" s="15"/>
      <c r="O342" s="15"/>
      <c r="P342" s="15"/>
      <c r="Q342" s="15"/>
      <c r="R342" s="16"/>
      <c r="S342" s="38"/>
      <c r="T342" s="38"/>
      <c r="U342" s="38"/>
      <c r="V342" s="38"/>
      <c r="W342" s="38"/>
      <c r="X342" s="38"/>
      <c r="Y342" s="38"/>
      <c r="Z342" s="38"/>
      <c r="AA342" s="38"/>
      <c r="AB342" s="38"/>
      <c r="AC342" s="38"/>
    </row>
    <row r="343" spans="1:29" ht="12.75">
      <c r="A343" s="38"/>
      <c r="B343" s="38"/>
      <c r="C343" s="40"/>
      <c r="D343" s="41"/>
      <c r="E343" s="40"/>
      <c r="F343" s="41"/>
      <c r="G343" s="40"/>
      <c r="H343" s="41"/>
      <c r="I343" s="39"/>
      <c r="J343" s="39"/>
      <c r="K343" s="40"/>
      <c r="L343" s="41"/>
      <c r="M343" s="38"/>
      <c r="N343" s="15"/>
      <c r="O343" s="15"/>
      <c r="P343" s="15"/>
      <c r="Q343" s="15"/>
      <c r="R343" s="16"/>
      <c r="S343" s="38"/>
      <c r="T343" s="38"/>
      <c r="U343" s="38"/>
      <c r="V343" s="38"/>
      <c r="W343" s="38"/>
      <c r="X343" s="38"/>
      <c r="Y343" s="38"/>
      <c r="Z343" s="38"/>
      <c r="AA343" s="38"/>
      <c r="AB343" s="38"/>
      <c r="AC343" s="38"/>
    </row>
    <row r="344" spans="1:29" ht="12.75">
      <c r="A344" s="38"/>
      <c r="B344" s="38"/>
      <c r="C344" s="40"/>
      <c r="D344" s="41"/>
      <c r="E344" s="40"/>
      <c r="F344" s="41"/>
      <c r="G344" s="40"/>
      <c r="H344" s="41"/>
      <c r="I344" s="39"/>
      <c r="J344" s="39"/>
      <c r="K344" s="40"/>
      <c r="L344" s="41"/>
      <c r="M344" s="38"/>
      <c r="N344" s="15"/>
      <c r="O344" s="15"/>
      <c r="P344" s="15"/>
      <c r="Q344" s="15"/>
      <c r="R344" s="16"/>
      <c r="S344" s="38"/>
      <c r="T344" s="38"/>
      <c r="U344" s="38"/>
      <c r="V344" s="38"/>
      <c r="W344" s="38"/>
      <c r="X344" s="38"/>
      <c r="Y344" s="38"/>
      <c r="Z344" s="38"/>
      <c r="AA344" s="38"/>
      <c r="AB344" s="38"/>
      <c r="AC344" s="38"/>
    </row>
    <row r="345" spans="1:29" ht="12.75">
      <c r="A345" s="38"/>
      <c r="B345" s="38"/>
      <c r="C345" s="40"/>
      <c r="D345" s="41"/>
      <c r="E345" s="40"/>
      <c r="F345" s="41"/>
      <c r="G345" s="40"/>
      <c r="H345" s="41"/>
      <c r="I345" s="39"/>
      <c r="J345" s="39"/>
      <c r="K345" s="40"/>
      <c r="L345" s="41"/>
      <c r="M345" s="38"/>
      <c r="N345" s="15"/>
      <c r="O345" s="15"/>
      <c r="P345" s="15"/>
      <c r="Q345" s="15"/>
      <c r="R345" s="16"/>
      <c r="S345" s="38"/>
      <c r="T345" s="38"/>
      <c r="U345" s="38"/>
      <c r="V345" s="38"/>
      <c r="W345" s="38"/>
      <c r="X345" s="38"/>
      <c r="Y345" s="38"/>
      <c r="Z345" s="38"/>
      <c r="AA345" s="38"/>
      <c r="AB345" s="38"/>
      <c r="AC345" s="38"/>
    </row>
    <row r="346" spans="1:29" ht="12.75">
      <c r="A346" s="38"/>
      <c r="B346" s="38"/>
      <c r="C346" s="40"/>
      <c r="D346" s="41"/>
      <c r="E346" s="40"/>
      <c r="F346" s="41"/>
      <c r="G346" s="40"/>
      <c r="H346" s="41"/>
      <c r="I346" s="39"/>
      <c r="J346" s="39"/>
      <c r="K346" s="40"/>
      <c r="L346" s="41"/>
      <c r="M346" s="38"/>
      <c r="N346" s="15"/>
      <c r="O346" s="15"/>
      <c r="P346" s="15"/>
      <c r="Q346" s="15"/>
      <c r="R346" s="16"/>
      <c r="S346" s="38"/>
      <c r="T346" s="38"/>
      <c r="U346" s="38"/>
      <c r="V346" s="38"/>
      <c r="W346" s="38"/>
      <c r="X346" s="38"/>
      <c r="Y346" s="38"/>
      <c r="Z346" s="38"/>
      <c r="AA346" s="38"/>
      <c r="AB346" s="38"/>
      <c r="AC346" s="38"/>
    </row>
    <row r="347" spans="1:29" ht="12.75">
      <c r="A347" s="38"/>
      <c r="B347" s="38"/>
      <c r="C347" s="40"/>
      <c r="D347" s="41"/>
      <c r="E347" s="40"/>
      <c r="F347" s="41"/>
      <c r="G347" s="40"/>
      <c r="H347" s="41"/>
      <c r="I347" s="39"/>
      <c r="J347" s="39"/>
      <c r="K347" s="40"/>
      <c r="L347" s="41"/>
      <c r="M347" s="38"/>
      <c r="N347" s="15"/>
      <c r="O347" s="15"/>
      <c r="P347" s="15"/>
      <c r="Q347" s="15"/>
      <c r="R347" s="16"/>
      <c r="S347" s="38"/>
      <c r="T347" s="38"/>
      <c r="U347" s="38"/>
      <c r="V347" s="38"/>
      <c r="W347" s="38"/>
      <c r="X347" s="38"/>
      <c r="Y347" s="38"/>
      <c r="Z347" s="38"/>
      <c r="AA347" s="38"/>
      <c r="AB347" s="38"/>
      <c r="AC347" s="38"/>
    </row>
    <row r="348" spans="1:29" ht="12.75">
      <c r="A348" s="38"/>
      <c r="B348" s="38"/>
      <c r="C348" s="40"/>
      <c r="D348" s="41"/>
      <c r="E348" s="40"/>
      <c r="F348" s="41"/>
      <c r="G348" s="40"/>
      <c r="H348" s="41"/>
      <c r="I348" s="39"/>
      <c r="J348" s="39"/>
      <c r="K348" s="40"/>
      <c r="L348" s="41"/>
      <c r="M348" s="38"/>
      <c r="N348" s="15"/>
      <c r="O348" s="15"/>
      <c r="P348" s="15"/>
      <c r="Q348" s="15"/>
      <c r="R348" s="16"/>
      <c r="S348" s="38"/>
      <c r="T348" s="38"/>
      <c r="U348" s="38"/>
      <c r="V348" s="38"/>
      <c r="W348" s="38"/>
      <c r="X348" s="38"/>
      <c r="Y348" s="38"/>
      <c r="Z348" s="38"/>
      <c r="AA348" s="38"/>
      <c r="AB348" s="38"/>
      <c r="AC348" s="38"/>
    </row>
    <row r="349" spans="1:29" ht="12.75">
      <c r="A349" s="38"/>
      <c r="B349" s="38"/>
      <c r="C349" s="40"/>
      <c r="D349" s="41"/>
      <c r="E349" s="40"/>
      <c r="F349" s="41"/>
      <c r="G349" s="40"/>
      <c r="H349" s="41"/>
      <c r="I349" s="39"/>
      <c r="J349" s="39"/>
      <c r="K349" s="40"/>
      <c r="L349" s="41"/>
      <c r="M349" s="38"/>
      <c r="N349" s="15"/>
      <c r="O349" s="15"/>
      <c r="P349" s="15"/>
      <c r="Q349" s="15"/>
      <c r="R349" s="16"/>
      <c r="S349" s="38"/>
      <c r="T349" s="38"/>
      <c r="U349" s="38"/>
      <c r="V349" s="38"/>
      <c r="W349" s="38"/>
      <c r="X349" s="38"/>
      <c r="Y349" s="38"/>
      <c r="Z349" s="38"/>
      <c r="AA349" s="38"/>
      <c r="AB349" s="38"/>
      <c r="AC349" s="38"/>
    </row>
    <row r="350" spans="1:29" ht="12.75">
      <c r="A350" s="38"/>
      <c r="B350" s="38"/>
      <c r="C350" s="40"/>
      <c r="D350" s="41"/>
      <c r="E350" s="40"/>
      <c r="F350" s="41"/>
      <c r="G350" s="40"/>
      <c r="H350" s="41"/>
      <c r="I350" s="39"/>
      <c r="J350" s="39"/>
      <c r="K350" s="40"/>
      <c r="L350" s="41"/>
      <c r="M350" s="38"/>
      <c r="N350" s="15"/>
      <c r="O350" s="15"/>
      <c r="P350" s="15"/>
      <c r="Q350" s="15"/>
      <c r="R350" s="16"/>
      <c r="S350" s="38"/>
      <c r="T350" s="38"/>
      <c r="U350" s="38"/>
      <c r="V350" s="38"/>
      <c r="W350" s="38"/>
      <c r="X350" s="38"/>
      <c r="Y350" s="38"/>
      <c r="Z350" s="38"/>
      <c r="AA350" s="38"/>
      <c r="AB350" s="38"/>
      <c r="AC350" s="38"/>
    </row>
    <row r="351" spans="1:29" ht="12.75">
      <c r="A351" s="38"/>
      <c r="B351" s="38"/>
      <c r="C351" s="40"/>
      <c r="D351" s="41"/>
      <c r="E351" s="40"/>
      <c r="F351" s="41"/>
      <c r="G351" s="40"/>
      <c r="H351" s="41"/>
      <c r="I351" s="39"/>
      <c r="J351" s="39"/>
      <c r="K351" s="40"/>
      <c r="L351" s="41"/>
      <c r="M351" s="38"/>
      <c r="N351" s="15"/>
      <c r="O351" s="15"/>
      <c r="P351" s="15"/>
      <c r="Q351" s="15"/>
      <c r="R351" s="16"/>
      <c r="S351" s="38"/>
      <c r="T351" s="38"/>
      <c r="U351" s="38"/>
      <c r="V351" s="38"/>
      <c r="W351" s="38"/>
      <c r="X351" s="38"/>
      <c r="Y351" s="38"/>
      <c r="Z351" s="38"/>
      <c r="AA351" s="38"/>
      <c r="AB351" s="38"/>
      <c r="AC351" s="38"/>
    </row>
    <row r="352" spans="1:29" ht="12.75">
      <c r="A352" s="38"/>
      <c r="B352" s="38"/>
      <c r="C352" s="40"/>
      <c r="D352" s="41"/>
      <c r="E352" s="40"/>
      <c r="F352" s="41"/>
      <c r="G352" s="40"/>
      <c r="H352" s="41"/>
      <c r="I352" s="39"/>
      <c r="J352" s="39"/>
      <c r="K352" s="40"/>
      <c r="L352" s="41"/>
      <c r="M352" s="38"/>
      <c r="N352" s="15"/>
      <c r="O352" s="15"/>
      <c r="P352" s="15"/>
      <c r="Q352" s="15"/>
      <c r="R352" s="16"/>
      <c r="S352" s="38"/>
      <c r="T352" s="38"/>
      <c r="U352" s="38"/>
      <c r="V352" s="38"/>
      <c r="W352" s="38"/>
      <c r="X352" s="38"/>
      <c r="Y352" s="38"/>
      <c r="Z352" s="38"/>
      <c r="AA352" s="38"/>
      <c r="AB352" s="38"/>
      <c r="AC352" s="38"/>
    </row>
    <row r="353" spans="1:29" ht="12.75">
      <c r="A353" s="38"/>
      <c r="B353" s="38"/>
      <c r="C353" s="40"/>
      <c r="D353" s="41"/>
      <c r="E353" s="40"/>
      <c r="F353" s="41"/>
      <c r="G353" s="40"/>
      <c r="H353" s="41"/>
      <c r="I353" s="39"/>
      <c r="J353" s="39"/>
      <c r="K353" s="40"/>
      <c r="L353" s="41"/>
      <c r="M353" s="38"/>
      <c r="N353" s="15"/>
      <c r="O353" s="15"/>
      <c r="P353" s="15"/>
      <c r="Q353" s="15"/>
      <c r="R353" s="16"/>
      <c r="S353" s="38"/>
      <c r="T353" s="38"/>
      <c r="U353" s="38"/>
      <c r="V353" s="38"/>
      <c r="W353" s="38"/>
      <c r="X353" s="38"/>
      <c r="Y353" s="38"/>
      <c r="Z353" s="38"/>
      <c r="AA353" s="38"/>
      <c r="AB353" s="38"/>
      <c r="AC353" s="38"/>
    </row>
    <row r="354" spans="1:29" ht="12.75">
      <c r="A354" s="38"/>
      <c r="B354" s="38"/>
      <c r="C354" s="40"/>
      <c r="D354" s="41"/>
      <c r="E354" s="40"/>
      <c r="F354" s="41"/>
      <c r="G354" s="40"/>
      <c r="H354" s="41"/>
      <c r="I354" s="39"/>
      <c r="J354" s="39"/>
      <c r="K354" s="40"/>
      <c r="L354" s="41"/>
      <c r="M354" s="38"/>
      <c r="N354" s="15"/>
      <c r="O354" s="15"/>
      <c r="P354" s="15"/>
      <c r="Q354" s="15"/>
      <c r="R354" s="16"/>
      <c r="S354" s="38"/>
      <c r="T354" s="38"/>
      <c r="U354" s="38"/>
      <c r="V354" s="38"/>
      <c r="W354" s="38"/>
      <c r="X354" s="38"/>
      <c r="Y354" s="38"/>
      <c r="Z354" s="38"/>
      <c r="AA354" s="38"/>
      <c r="AB354" s="38"/>
      <c r="AC354" s="38"/>
    </row>
    <row r="355" spans="1:29" ht="12.75">
      <c r="A355" s="38"/>
      <c r="B355" s="38"/>
      <c r="C355" s="40"/>
      <c r="D355" s="41"/>
      <c r="E355" s="40"/>
      <c r="F355" s="41"/>
      <c r="G355" s="40"/>
      <c r="H355" s="41"/>
      <c r="I355" s="39"/>
      <c r="J355" s="39"/>
      <c r="K355" s="40"/>
      <c r="L355" s="41"/>
      <c r="M355" s="38"/>
      <c r="N355" s="15"/>
      <c r="O355" s="15"/>
      <c r="P355" s="15"/>
      <c r="Q355" s="15"/>
      <c r="R355" s="16"/>
      <c r="S355" s="38"/>
      <c r="T355" s="38"/>
      <c r="U355" s="38"/>
      <c r="V355" s="38"/>
      <c r="W355" s="38"/>
      <c r="X355" s="38"/>
      <c r="Y355" s="38"/>
      <c r="Z355" s="38"/>
      <c r="AA355" s="38"/>
      <c r="AB355" s="38"/>
      <c r="AC355" s="38"/>
    </row>
    <row r="356" spans="1:29" ht="12.75">
      <c r="A356" s="38"/>
      <c r="B356" s="38"/>
      <c r="C356" s="40"/>
      <c r="D356" s="41"/>
      <c r="E356" s="40"/>
      <c r="F356" s="41"/>
      <c r="G356" s="40"/>
      <c r="H356" s="41"/>
      <c r="I356" s="39"/>
      <c r="J356" s="39"/>
      <c r="K356" s="40"/>
      <c r="L356" s="41"/>
      <c r="M356" s="38"/>
      <c r="N356" s="15"/>
      <c r="O356" s="15"/>
      <c r="P356" s="15"/>
      <c r="Q356" s="15"/>
      <c r="R356" s="16"/>
      <c r="S356" s="38"/>
      <c r="T356" s="38"/>
      <c r="U356" s="38"/>
      <c r="V356" s="38"/>
      <c r="W356" s="38"/>
      <c r="X356" s="38"/>
      <c r="Y356" s="38"/>
      <c r="Z356" s="38"/>
      <c r="AA356" s="38"/>
      <c r="AB356" s="38"/>
      <c r="AC356" s="38"/>
    </row>
    <row r="357" spans="1:29" ht="12.75">
      <c r="A357" s="38"/>
      <c r="B357" s="38"/>
      <c r="C357" s="40"/>
      <c r="D357" s="41"/>
      <c r="E357" s="40"/>
      <c r="F357" s="41"/>
      <c r="G357" s="40"/>
      <c r="H357" s="41"/>
      <c r="I357" s="39"/>
      <c r="J357" s="39"/>
      <c r="K357" s="40"/>
      <c r="L357" s="41"/>
      <c r="M357" s="38"/>
      <c r="N357" s="15"/>
      <c r="O357" s="15"/>
      <c r="P357" s="15"/>
      <c r="Q357" s="15"/>
      <c r="R357" s="16"/>
      <c r="S357" s="38"/>
      <c r="T357" s="38"/>
      <c r="U357" s="38"/>
      <c r="V357" s="38"/>
      <c r="W357" s="38"/>
      <c r="X357" s="38"/>
      <c r="Y357" s="38"/>
      <c r="Z357" s="38"/>
      <c r="AA357" s="38"/>
      <c r="AB357" s="38"/>
      <c r="AC357" s="38"/>
    </row>
    <row r="358" spans="1:29" ht="12.75">
      <c r="A358" s="38"/>
      <c r="B358" s="38"/>
      <c r="C358" s="40"/>
      <c r="D358" s="41"/>
      <c r="E358" s="40"/>
      <c r="F358" s="41"/>
      <c r="G358" s="40"/>
      <c r="H358" s="41"/>
      <c r="I358" s="39"/>
      <c r="J358" s="39"/>
      <c r="K358" s="40"/>
      <c r="L358" s="41"/>
      <c r="M358" s="38"/>
      <c r="N358" s="15"/>
      <c r="O358" s="15"/>
      <c r="P358" s="15"/>
      <c r="Q358" s="15"/>
      <c r="R358" s="16"/>
      <c r="S358" s="38"/>
      <c r="T358" s="38"/>
      <c r="U358" s="38"/>
      <c r="V358" s="38"/>
      <c r="W358" s="38"/>
      <c r="X358" s="38"/>
      <c r="Y358" s="38"/>
      <c r="Z358" s="38"/>
      <c r="AA358" s="38"/>
      <c r="AB358" s="38"/>
      <c r="AC358" s="38"/>
    </row>
    <row r="359" spans="1:29" ht="12.75">
      <c r="A359" s="38"/>
      <c r="B359" s="38"/>
      <c r="C359" s="40"/>
      <c r="D359" s="41"/>
      <c r="E359" s="40"/>
      <c r="F359" s="41"/>
      <c r="G359" s="40"/>
      <c r="H359" s="41"/>
      <c r="I359" s="39"/>
      <c r="J359" s="39"/>
      <c r="K359" s="40"/>
      <c r="L359" s="41"/>
      <c r="M359" s="38"/>
      <c r="N359" s="15"/>
      <c r="O359" s="15"/>
      <c r="P359" s="15"/>
      <c r="Q359" s="15"/>
      <c r="R359" s="16"/>
      <c r="S359" s="38"/>
      <c r="T359" s="38"/>
      <c r="U359" s="38"/>
      <c r="V359" s="38"/>
      <c r="W359" s="38"/>
      <c r="X359" s="38"/>
      <c r="Y359" s="38"/>
      <c r="Z359" s="38"/>
      <c r="AA359" s="38"/>
      <c r="AB359" s="38"/>
      <c r="AC359" s="38"/>
    </row>
    <row r="360" spans="1:29" ht="12.75">
      <c r="A360" s="38"/>
      <c r="B360" s="38"/>
      <c r="C360" s="40"/>
      <c r="D360" s="41"/>
      <c r="E360" s="40"/>
      <c r="F360" s="41"/>
      <c r="G360" s="40"/>
      <c r="H360" s="41"/>
      <c r="I360" s="39"/>
      <c r="J360" s="39"/>
      <c r="K360" s="40"/>
      <c r="L360" s="41"/>
      <c r="M360" s="38"/>
      <c r="N360" s="15"/>
      <c r="O360" s="15"/>
      <c r="P360" s="15"/>
      <c r="Q360" s="15"/>
      <c r="R360" s="16"/>
      <c r="S360" s="38"/>
      <c r="T360" s="38"/>
      <c r="U360" s="38"/>
      <c r="V360" s="38"/>
      <c r="W360" s="38"/>
      <c r="X360" s="38"/>
      <c r="Y360" s="38"/>
      <c r="Z360" s="38"/>
      <c r="AA360" s="38"/>
      <c r="AB360" s="38"/>
      <c r="AC360" s="38"/>
    </row>
    <row r="361" spans="1:29" ht="12.75">
      <c r="A361" s="38"/>
      <c r="B361" s="38"/>
      <c r="C361" s="40"/>
      <c r="D361" s="41"/>
      <c r="E361" s="40"/>
      <c r="F361" s="41"/>
      <c r="G361" s="40"/>
      <c r="H361" s="41"/>
      <c r="I361" s="39"/>
      <c r="J361" s="39"/>
      <c r="K361" s="40"/>
      <c r="L361" s="41"/>
      <c r="M361" s="38"/>
      <c r="N361" s="15"/>
      <c r="O361" s="15"/>
      <c r="P361" s="15"/>
      <c r="Q361" s="15"/>
      <c r="R361" s="16"/>
      <c r="S361" s="38"/>
      <c r="T361" s="38"/>
      <c r="U361" s="38"/>
      <c r="V361" s="38"/>
      <c r="W361" s="38"/>
      <c r="X361" s="38"/>
      <c r="Y361" s="38"/>
      <c r="Z361" s="38"/>
      <c r="AA361" s="38"/>
      <c r="AB361" s="38"/>
      <c r="AC361" s="38"/>
    </row>
    <row r="362" spans="1:29" ht="12.75">
      <c r="A362" s="38"/>
      <c r="B362" s="38"/>
      <c r="C362" s="40"/>
      <c r="D362" s="41"/>
      <c r="E362" s="40"/>
      <c r="F362" s="41"/>
      <c r="G362" s="40"/>
      <c r="H362" s="41"/>
      <c r="I362" s="39"/>
      <c r="J362" s="39"/>
      <c r="K362" s="40"/>
      <c r="L362" s="41"/>
      <c r="M362" s="38"/>
      <c r="N362" s="15"/>
      <c r="O362" s="15"/>
      <c r="P362" s="15"/>
      <c r="Q362" s="15"/>
      <c r="R362" s="16"/>
      <c r="S362" s="38"/>
      <c r="T362" s="38"/>
      <c r="U362" s="38"/>
      <c r="V362" s="38"/>
      <c r="W362" s="38"/>
      <c r="X362" s="38"/>
      <c r="Y362" s="38"/>
      <c r="Z362" s="38"/>
      <c r="AA362" s="38"/>
      <c r="AB362" s="38"/>
      <c r="AC362" s="38"/>
    </row>
    <row r="363" spans="1:29" ht="12.75">
      <c r="A363" s="38"/>
      <c r="B363" s="38"/>
      <c r="C363" s="40"/>
      <c r="D363" s="41"/>
      <c r="E363" s="40"/>
      <c r="F363" s="41"/>
      <c r="G363" s="40"/>
      <c r="H363" s="41"/>
      <c r="I363" s="39"/>
      <c r="J363" s="39"/>
      <c r="K363" s="40"/>
      <c r="L363" s="41"/>
      <c r="M363" s="38"/>
      <c r="N363" s="15"/>
      <c r="O363" s="15"/>
      <c r="P363" s="15"/>
      <c r="Q363" s="15"/>
      <c r="R363" s="16"/>
      <c r="S363" s="38"/>
      <c r="T363" s="38"/>
      <c r="U363" s="38"/>
      <c r="V363" s="38"/>
      <c r="W363" s="38"/>
      <c r="X363" s="38"/>
      <c r="Y363" s="38"/>
      <c r="Z363" s="38"/>
      <c r="AA363" s="38"/>
      <c r="AB363" s="38"/>
      <c r="AC363" s="38"/>
    </row>
    <row r="364" spans="1:29" ht="12.75">
      <c r="A364" s="38"/>
      <c r="B364" s="38"/>
      <c r="C364" s="40"/>
      <c r="D364" s="41"/>
      <c r="E364" s="40"/>
      <c r="F364" s="41"/>
      <c r="G364" s="40"/>
      <c r="H364" s="41"/>
      <c r="I364" s="39"/>
      <c r="J364" s="39"/>
      <c r="K364" s="40"/>
      <c r="L364" s="41"/>
      <c r="M364" s="38"/>
      <c r="N364" s="15"/>
      <c r="O364" s="15"/>
      <c r="P364" s="15"/>
      <c r="Q364" s="15"/>
      <c r="R364" s="16"/>
      <c r="S364" s="38"/>
      <c r="T364" s="38"/>
      <c r="U364" s="38"/>
      <c r="V364" s="38"/>
      <c r="W364" s="38"/>
      <c r="X364" s="38"/>
      <c r="Y364" s="38"/>
      <c r="Z364" s="38"/>
      <c r="AA364" s="38"/>
      <c r="AB364" s="38"/>
      <c r="AC364" s="38"/>
    </row>
    <row r="365" spans="1:29" ht="12.75">
      <c r="A365" s="38"/>
      <c r="B365" s="38"/>
      <c r="C365" s="40"/>
      <c r="D365" s="41"/>
      <c r="E365" s="40"/>
      <c r="F365" s="41"/>
      <c r="G365" s="40"/>
      <c r="H365" s="41"/>
      <c r="I365" s="39"/>
      <c r="J365" s="39"/>
      <c r="K365" s="40"/>
      <c r="L365" s="41"/>
      <c r="M365" s="38"/>
      <c r="N365" s="15"/>
      <c r="O365" s="15"/>
      <c r="P365" s="15"/>
      <c r="Q365" s="15"/>
      <c r="R365" s="16"/>
      <c r="S365" s="38"/>
      <c r="T365" s="38"/>
      <c r="U365" s="38"/>
      <c r="V365" s="38"/>
      <c r="W365" s="38"/>
      <c r="X365" s="38"/>
      <c r="Y365" s="38"/>
      <c r="Z365" s="38"/>
      <c r="AA365" s="38"/>
      <c r="AB365" s="38"/>
      <c r="AC365" s="38"/>
    </row>
    <row r="366" spans="1:29" ht="12.75">
      <c r="A366" s="38"/>
      <c r="B366" s="38"/>
      <c r="C366" s="40"/>
      <c r="D366" s="41"/>
      <c r="E366" s="40"/>
      <c r="F366" s="41"/>
      <c r="G366" s="40"/>
      <c r="H366" s="41"/>
      <c r="I366" s="39"/>
      <c r="J366" s="39"/>
      <c r="K366" s="40"/>
      <c r="L366" s="41"/>
      <c r="M366" s="38"/>
      <c r="N366" s="15"/>
      <c r="O366" s="15"/>
      <c r="P366" s="15"/>
      <c r="Q366" s="15"/>
      <c r="R366" s="16"/>
      <c r="S366" s="38"/>
      <c r="T366" s="38"/>
      <c r="U366" s="38"/>
      <c r="V366" s="38"/>
      <c r="W366" s="38"/>
      <c r="X366" s="38"/>
      <c r="Y366" s="38"/>
      <c r="Z366" s="38"/>
      <c r="AA366" s="38"/>
      <c r="AB366" s="38"/>
      <c r="AC366" s="38"/>
    </row>
    <row r="367" spans="1:29" ht="12.75">
      <c r="A367" s="38"/>
      <c r="B367" s="38"/>
      <c r="C367" s="40"/>
      <c r="D367" s="41"/>
      <c r="E367" s="40"/>
      <c r="F367" s="41"/>
      <c r="G367" s="40"/>
      <c r="H367" s="41"/>
      <c r="I367" s="39"/>
      <c r="J367" s="39"/>
      <c r="K367" s="40"/>
      <c r="L367" s="41"/>
      <c r="M367" s="38"/>
      <c r="N367" s="15"/>
      <c r="O367" s="15"/>
      <c r="P367" s="15"/>
      <c r="Q367" s="15"/>
      <c r="R367" s="16"/>
      <c r="S367" s="38"/>
      <c r="T367" s="38"/>
      <c r="U367" s="38"/>
      <c r="V367" s="38"/>
      <c r="W367" s="38"/>
      <c r="X367" s="38"/>
      <c r="Y367" s="38"/>
      <c r="Z367" s="38"/>
      <c r="AA367" s="38"/>
      <c r="AB367" s="38"/>
      <c r="AC367" s="38"/>
    </row>
    <row r="368" spans="1:29" ht="12.75">
      <c r="A368" s="38"/>
      <c r="B368" s="38"/>
      <c r="C368" s="40"/>
      <c r="D368" s="41"/>
      <c r="E368" s="40"/>
      <c r="F368" s="41"/>
      <c r="G368" s="40"/>
      <c r="H368" s="41"/>
      <c r="I368" s="39"/>
      <c r="J368" s="39"/>
      <c r="K368" s="40"/>
      <c r="L368" s="41"/>
      <c r="M368" s="38"/>
      <c r="N368" s="15"/>
      <c r="O368" s="15"/>
      <c r="P368" s="15"/>
      <c r="Q368" s="15"/>
      <c r="R368" s="16"/>
      <c r="S368" s="38"/>
      <c r="T368" s="38"/>
      <c r="U368" s="38"/>
      <c r="V368" s="38"/>
      <c r="W368" s="38"/>
      <c r="X368" s="38"/>
      <c r="Y368" s="38"/>
      <c r="Z368" s="38"/>
      <c r="AA368" s="38"/>
      <c r="AB368" s="38"/>
      <c r="AC368" s="38"/>
    </row>
    <row r="369" spans="1:29" ht="12.75">
      <c r="A369" s="38"/>
      <c r="B369" s="38"/>
      <c r="C369" s="40"/>
      <c r="D369" s="41"/>
      <c r="E369" s="40"/>
      <c r="F369" s="41"/>
      <c r="G369" s="40"/>
      <c r="H369" s="41"/>
      <c r="I369" s="39"/>
      <c r="J369" s="39"/>
      <c r="K369" s="40"/>
      <c r="L369" s="41"/>
      <c r="M369" s="38"/>
      <c r="N369" s="15"/>
      <c r="O369" s="15"/>
      <c r="P369" s="15"/>
      <c r="Q369" s="15"/>
      <c r="R369" s="16"/>
      <c r="S369" s="38"/>
      <c r="T369" s="38"/>
      <c r="U369" s="38"/>
      <c r="V369" s="38"/>
      <c r="W369" s="38"/>
      <c r="X369" s="38"/>
      <c r="Y369" s="38"/>
      <c r="Z369" s="38"/>
      <c r="AA369" s="38"/>
      <c r="AB369" s="38"/>
      <c r="AC369" s="38"/>
    </row>
    <row r="370" spans="1:29" ht="12.75">
      <c r="A370" s="38"/>
      <c r="B370" s="38"/>
      <c r="C370" s="40"/>
      <c r="D370" s="41"/>
      <c r="E370" s="40"/>
      <c r="F370" s="41"/>
      <c r="G370" s="40"/>
      <c r="H370" s="41"/>
      <c r="I370" s="39"/>
      <c r="J370" s="39"/>
      <c r="K370" s="40"/>
      <c r="L370" s="41"/>
      <c r="M370" s="38"/>
      <c r="N370" s="15"/>
      <c r="O370" s="15"/>
      <c r="P370" s="15"/>
      <c r="Q370" s="15"/>
      <c r="R370" s="16"/>
      <c r="S370" s="38"/>
      <c r="T370" s="38"/>
      <c r="U370" s="38"/>
      <c r="V370" s="38"/>
      <c r="W370" s="38"/>
      <c r="X370" s="38"/>
      <c r="Y370" s="38"/>
      <c r="Z370" s="38"/>
      <c r="AA370" s="38"/>
      <c r="AB370" s="38"/>
      <c r="AC370" s="38"/>
    </row>
    <row r="371" spans="1:29" ht="12.75">
      <c r="A371" s="38"/>
      <c r="B371" s="38"/>
      <c r="C371" s="40"/>
      <c r="D371" s="41"/>
      <c r="E371" s="40"/>
      <c r="F371" s="41"/>
      <c r="G371" s="40"/>
      <c r="H371" s="41"/>
      <c r="I371" s="39"/>
      <c r="J371" s="39"/>
      <c r="K371" s="40"/>
      <c r="L371" s="41"/>
      <c r="M371" s="38"/>
      <c r="N371" s="15"/>
      <c r="O371" s="15"/>
      <c r="P371" s="15"/>
      <c r="Q371" s="15"/>
      <c r="R371" s="16"/>
      <c r="S371" s="38"/>
      <c r="T371" s="38"/>
      <c r="U371" s="38"/>
      <c r="V371" s="38"/>
      <c r="W371" s="38"/>
      <c r="X371" s="38"/>
      <c r="Y371" s="38"/>
      <c r="Z371" s="38"/>
      <c r="AA371" s="38"/>
      <c r="AB371" s="38"/>
      <c r="AC371" s="38"/>
    </row>
    <row r="372" spans="1:29" ht="12.75">
      <c r="A372" s="38"/>
      <c r="B372" s="38"/>
      <c r="C372" s="40"/>
      <c r="D372" s="41"/>
      <c r="E372" s="40"/>
      <c r="F372" s="41"/>
      <c r="G372" s="40"/>
      <c r="H372" s="41"/>
      <c r="I372" s="39"/>
      <c r="J372" s="39"/>
      <c r="K372" s="40"/>
      <c r="L372" s="41"/>
      <c r="M372" s="38"/>
      <c r="N372" s="15"/>
      <c r="O372" s="15"/>
      <c r="P372" s="15"/>
      <c r="Q372" s="15"/>
      <c r="R372" s="16"/>
      <c r="S372" s="38"/>
      <c r="T372" s="38"/>
      <c r="U372" s="38"/>
      <c r="V372" s="38"/>
      <c r="W372" s="38"/>
      <c r="X372" s="38"/>
      <c r="Y372" s="38"/>
      <c r="Z372" s="38"/>
      <c r="AA372" s="38"/>
      <c r="AB372" s="38"/>
      <c r="AC372" s="38"/>
    </row>
    <row r="373" spans="1:29" ht="12.75">
      <c r="A373" s="38"/>
      <c r="B373" s="38"/>
      <c r="C373" s="40"/>
      <c r="D373" s="41"/>
      <c r="E373" s="40"/>
      <c r="F373" s="41"/>
      <c r="G373" s="40"/>
      <c r="H373" s="41"/>
      <c r="I373" s="39"/>
      <c r="J373" s="39"/>
      <c r="K373" s="40"/>
      <c r="L373" s="41"/>
      <c r="M373" s="38"/>
      <c r="N373" s="15"/>
      <c r="O373" s="15"/>
      <c r="P373" s="15"/>
      <c r="Q373" s="15"/>
      <c r="R373" s="16"/>
      <c r="S373" s="38"/>
      <c r="T373" s="38"/>
      <c r="U373" s="38"/>
      <c r="V373" s="38"/>
      <c r="W373" s="38"/>
      <c r="X373" s="38"/>
      <c r="Y373" s="38"/>
      <c r="Z373" s="38"/>
      <c r="AA373" s="38"/>
      <c r="AB373" s="38"/>
      <c r="AC373" s="38"/>
    </row>
    <row r="374" spans="1:29" ht="12.75">
      <c r="A374" s="38"/>
      <c r="B374" s="38"/>
      <c r="C374" s="40"/>
      <c r="D374" s="41"/>
      <c r="E374" s="40"/>
      <c r="F374" s="41"/>
      <c r="G374" s="40"/>
      <c r="H374" s="41"/>
      <c r="I374" s="39"/>
      <c r="J374" s="39"/>
      <c r="K374" s="40"/>
      <c r="L374" s="41"/>
      <c r="M374" s="38"/>
      <c r="N374" s="15"/>
      <c r="O374" s="15"/>
      <c r="P374" s="15"/>
      <c r="Q374" s="15"/>
      <c r="R374" s="16"/>
      <c r="S374" s="38"/>
      <c r="T374" s="38"/>
      <c r="U374" s="38"/>
      <c r="V374" s="38"/>
      <c r="W374" s="38"/>
      <c r="X374" s="38"/>
      <c r="Y374" s="38"/>
      <c r="Z374" s="38"/>
      <c r="AA374" s="38"/>
      <c r="AB374" s="38"/>
      <c r="AC374" s="38"/>
    </row>
    <row r="375" spans="1:29" ht="12.75">
      <c r="A375" s="38"/>
      <c r="B375" s="38"/>
      <c r="C375" s="40"/>
      <c r="D375" s="41"/>
      <c r="E375" s="40"/>
      <c r="F375" s="41"/>
      <c r="G375" s="40"/>
      <c r="H375" s="41"/>
      <c r="I375" s="39"/>
      <c r="J375" s="39"/>
      <c r="K375" s="40"/>
      <c r="L375" s="41"/>
      <c r="M375" s="38"/>
      <c r="N375" s="15"/>
      <c r="O375" s="15"/>
      <c r="P375" s="15"/>
      <c r="Q375" s="15"/>
      <c r="R375" s="16"/>
      <c r="S375" s="38"/>
      <c r="T375" s="38"/>
      <c r="U375" s="38"/>
      <c r="V375" s="38"/>
      <c r="W375" s="38"/>
      <c r="X375" s="38"/>
      <c r="Y375" s="38"/>
      <c r="Z375" s="38"/>
      <c r="AA375" s="38"/>
      <c r="AB375" s="38"/>
      <c r="AC375" s="38"/>
    </row>
    <row r="376" spans="1:29" ht="12.75">
      <c r="A376" s="38"/>
      <c r="B376" s="38"/>
      <c r="C376" s="40"/>
      <c r="D376" s="41"/>
      <c r="E376" s="40"/>
      <c r="F376" s="41"/>
      <c r="G376" s="40"/>
      <c r="H376" s="41"/>
      <c r="I376" s="39"/>
      <c r="J376" s="39"/>
      <c r="K376" s="40"/>
      <c r="L376" s="41"/>
      <c r="M376" s="38"/>
      <c r="N376" s="15"/>
      <c r="O376" s="15"/>
      <c r="P376" s="15"/>
      <c r="Q376" s="15"/>
      <c r="R376" s="16"/>
      <c r="S376" s="38"/>
      <c r="T376" s="38"/>
      <c r="U376" s="38"/>
      <c r="V376" s="38"/>
      <c r="W376" s="38"/>
      <c r="X376" s="38"/>
      <c r="Y376" s="38"/>
      <c r="Z376" s="38"/>
      <c r="AA376" s="38"/>
      <c r="AB376" s="38"/>
      <c r="AC376" s="38"/>
    </row>
    <row r="377" spans="1:29" ht="12.75">
      <c r="A377" s="38"/>
      <c r="B377" s="38"/>
      <c r="C377" s="40"/>
      <c r="D377" s="41"/>
      <c r="E377" s="40"/>
      <c r="F377" s="41"/>
      <c r="G377" s="40"/>
      <c r="H377" s="41"/>
      <c r="I377" s="39"/>
      <c r="J377" s="39"/>
      <c r="K377" s="40"/>
      <c r="L377" s="41"/>
      <c r="M377" s="38"/>
      <c r="N377" s="15"/>
      <c r="O377" s="15"/>
      <c r="P377" s="15"/>
      <c r="Q377" s="15"/>
      <c r="R377" s="16"/>
      <c r="S377" s="38"/>
      <c r="T377" s="38"/>
      <c r="U377" s="38"/>
      <c r="V377" s="38"/>
      <c r="W377" s="38"/>
      <c r="X377" s="38"/>
      <c r="Y377" s="38"/>
      <c r="Z377" s="38"/>
      <c r="AA377" s="38"/>
      <c r="AB377" s="38"/>
      <c r="AC377" s="38"/>
    </row>
    <row r="378" spans="1:29" ht="12.75">
      <c r="A378" s="38"/>
      <c r="B378" s="38"/>
      <c r="C378" s="40"/>
      <c r="D378" s="41"/>
      <c r="E378" s="40"/>
      <c r="F378" s="41"/>
      <c r="G378" s="40"/>
      <c r="H378" s="41"/>
      <c r="I378" s="39"/>
      <c r="J378" s="39"/>
      <c r="K378" s="40"/>
      <c r="L378" s="41"/>
      <c r="M378" s="38"/>
      <c r="N378" s="15"/>
      <c r="O378" s="15"/>
      <c r="P378" s="15"/>
      <c r="Q378" s="15"/>
      <c r="R378" s="16"/>
      <c r="S378" s="38"/>
      <c r="T378" s="38"/>
      <c r="U378" s="38"/>
      <c r="V378" s="38"/>
      <c r="W378" s="38"/>
      <c r="X378" s="38"/>
      <c r="Y378" s="38"/>
      <c r="Z378" s="38"/>
      <c r="AA378" s="38"/>
      <c r="AB378" s="38"/>
      <c r="AC378" s="38"/>
    </row>
    <row r="379" spans="1:29" ht="12.75">
      <c r="A379" s="38"/>
      <c r="B379" s="38"/>
      <c r="C379" s="40"/>
      <c r="D379" s="41"/>
      <c r="E379" s="40"/>
      <c r="F379" s="41"/>
      <c r="G379" s="40"/>
      <c r="H379" s="41"/>
      <c r="I379" s="39"/>
      <c r="J379" s="39"/>
      <c r="K379" s="40"/>
      <c r="L379" s="41"/>
      <c r="M379" s="38"/>
      <c r="N379" s="15"/>
      <c r="O379" s="15"/>
      <c r="P379" s="15"/>
      <c r="Q379" s="15"/>
      <c r="R379" s="16"/>
      <c r="S379" s="38"/>
      <c r="T379" s="38"/>
      <c r="U379" s="38"/>
      <c r="V379" s="38"/>
      <c r="W379" s="38"/>
      <c r="X379" s="38"/>
      <c r="Y379" s="38"/>
      <c r="Z379" s="38"/>
      <c r="AA379" s="38"/>
      <c r="AB379" s="38"/>
      <c r="AC379" s="38"/>
    </row>
    <row r="380" spans="1:29" ht="12.75">
      <c r="A380" s="38"/>
      <c r="B380" s="38"/>
      <c r="C380" s="40"/>
      <c r="D380" s="41"/>
      <c r="E380" s="40"/>
      <c r="F380" s="41"/>
      <c r="G380" s="40"/>
      <c r="H380" s="41"/>
      <c r="I380" s="39"/>
      <c r="J380" s="39"/>
      <c r="K380" s="40"/>
      <c r="L380" s="41"/>
      <c r="M380" s="38"/>
      <c r="N380" s="15"/>
      <c r="O380" s="15"/>
      <c r="P380" s="15"/>
      <c r="Q380" s="15"/>
      <c r="R380" s="16"/>
      <c r="S380" s="38"/>
      <c r="T380" s="38"/>
      <c r="U380" s="38"/>
      <c r="V380" s="38"/>
      <c r="W380" s="38"/>
      <c r="X380" s="38"/>
      <c r="Y380" s="38"/>
      <c r="Z380" s="38"/>
      <c r="AA380" s="38"/>
      <c r="AB380" s="38"/>
      <c r="AC380" s="38"/>
    </row>
    <row r="381" spans="1:29" ht="12.75">
      <c r="A381" s="38"/>
      <c r="B381" s="38"/>
      <c r="C381" s="40"/>
      <c r="D381" s="41"/>
      <c r="E381" s="40"/>
      <c r="F381" s="41"/>
      <c r="G381" s="40"/>
      <c r="H381" s="41"/>
      <c r="I381" s="39"/>
      <c r="J381" s="39"/>
      <c r="K381" s="40"/>
      <c r="L381" s="41"/>
      <c r="M381" s="38"/>
      <c r="N381" s="15"/>
      <c r="O381" s="15"/>
      <c r="P381" s="15"/>
      <c r="Q381" s="15"/>
      <c r="R381" s="16"/>
      <c r="S381" s="38"/>
      <c r="T381" s="38"/>
      <c r="U381" s="38"/>
      <c r="V381" s="38"/>
      <c r="W381" s="38"/>
      <c r="X381" s="38"/>
      <c r="Y381" s="38"/>
      <c r="Z381" s="38"/>
      <c r="AA381" s="38"/>
      <c r="AB381" s="38"/>
      <c r="AC381" s="38"/>
    </row>
    <row r="382" spans="1:29" ht="12.75">
      <c r="A382" s="38"/>
      <c r="B382" s="38"/>
      <c r="C382" s="40"/>
      <c r="D382" s="41"/>
      <c r="E382" s="40"/>
      <c r="F382" s="41"/>
      <c r="G382" s="40"/>
      <c r="H382" s="41"/>
      <c r="I382" s="39"/>
      <c r="J382" s="39"/>
      <c r="K382" s="40"/>
      <c r="L382" s="41"/>
      <c r="M382" s="38"/>
      <c r="N382" s="15"/>
      <c r="O382" s="15"/>
      <c r="P382" s="15"/>
      <c r="Q382" s="15"/>
      <c r="R382" s="16"/>
      <c r="S382" s="38"/>
      <c r="T382" s="38"/>
      <c r="U382" s="38"/>
      <c r="V382" s="38"/>
      <c r="W382" s="38"/>
      <c r="X382" s="38"/>
      <c r="Y382" s="38"/>
      <c r="Z382" s="38"/>
      <c r="AA382" s="38"/>
      <c r="AB382" s="38"/>
      <c r="AC382" s="38"/>
    </row>
    <row r="383" spans="1:29" ht="12.75">
      <c r="A383" s="38"/>
      <c r="B383" s="38"/>
      <c r="C383" s="40"/>
      <c r="D383" s="41"/>
      <c r="E383" s="40"/>
      <c r="F383" s="41"/>
      <c r="G383" s="40"/>
      <c r="H383" s="41"/>
      <c r="I383" s="39"/>
      <c r="J383" s="39"/>
      <c r="K383" s="40"/>
      <c r="L383" s="41"/>
      <c r="M383" s="38"/>
      <c r="N383" s="15"/>
      <c r="O383" s="15"/>
      <c r="P383" s="15"/>
      <c r="Q383" s="15"/>
      <c r="R383" s="16"/>
      <c r="S383" s="38"/>
      <c r="T383" s="38"/>
      <c r="U383" s="38"/>
      <c r="V383" s="38"/>
      <c r="W383" s="38"/>
      <c r="X383" s="38"/>
      <c r="Y383" s="38"/>
      <c r="Z383" s="38"/>
      <c r="AA383" s="38"/>
      <c r="AB383" s="38"/>
      <c r="AC383" s="38"/>
    </row>
    <row r="384" spans="1:29" ht="12.75">
      <c r="A384" s="38"/>
      <c r="B384" s="38"/>
      <c r="C384" s="40"/>
      <c r="D384" s="41"/>
      <c r="E384" s="40"/>
      <c r="F384" s="41"/>
      <c r="G384" s="40"/>
      <c r="H384" s="41"/>
      <c r="I384" s="39"/>
      <c r="J384" s="39"/>
      <c r="K384" s="40"/>
      <c r="L384" s="41"/>
      <c r="M384" s="38"/>
      <c r="N384" s="15"/>
      <c r="O384" s="15"/>
      <c r="P384" s="15"/>
      <c r="Q384" s="15"/>
      <c r="R384" s="16"/>
      <c r="S384" s="38"/>
      <c r="T384" s="38"/>
      <c r="U384" s="38"/>
      <c r="V384" s="38"/>
      <c r="W384" s="38"/>
      <c r="X384" s="38"/>
      <c r="Y384" s="38"/>
      <c r="Z384" s="38"/>
      <c r="AA384" s="38"/>
      <c r="AB384" s="38"/>
      <c r="AC384" s="38"/>
    </row>
    <row r="385" spans="1:29" ht="12.75">
      <c r="A385" s="38"/>
      <c r="B385" s="38"/>
      <c r="C385" s="40"/>
      <c r="D385" s="41"/>
      <c r="E385" s="40"/>
      <c r="F385" s="41"/>
      <c r="G385" s="40"/>
      <c r="H385" s="41"/>
      <c r="I385" s="39"/>
      <c r="J385" s="39"/>
      <c r="K385" s="40"/>
      <c r="L385" s="41"/>
      <c r="M385" s="38"/>
      <c r="N385" s="15"/>
      <c r="O385" s="15"/>
      <c r="P385" s="15"/>
      <c r="Q385" s="15"/>
      <c r="R385" s="16"/>
      <c r="S385" s="38"/>
      <c r="T385" s="38"/>
      <c r="U385" s="38"/>
      <c r="V385" s="38"/>
      <c r="W385" s="38"/>
      <c r="X385" s="38"/>
      <c r="Y385" s="38"/>
      <c r="Z385" s="38"/>
      <c r="AA385" s="38"/>
      <c r="AB385" s="38"/>
      <c r="AC385" s="38"/>
    </row>
    <row r="386" spans="1:29" ht="12.75">
      <c r="A386" s="38"/>
      <c r="B386" s="38"/>
      <c r="C386" s="40"/>
      <c r="D386" s="41"/>
      <c r="E386" s="40"/>
      <c r="F386" s="41"/>
      <c r="G386" s="40"/>
      <c r="H386" s="41"/>
      <c r="I386" s="39"/>
      <c r="J386" s="39"/>
      <c r="K386" s="40"/>
      <c r="L386" s="41"/>
      <c r="M386" s="38"/>
      <c r="N386" s="15"/>
      <c r="O386" s="15"/>
      <c r="P386" s="15"/>
      <c r="Q386" s="15"/>
      <c r="R386" s="16"/>
      <c r="S386" s="38"/>
      <c r="T386" s="38"/>
      <c r="U386" s="38"/>
      <c r="V386" s="38"/>
      <c r="W386" s="38"/>
      <c r="X386" s="38"/>
      <c r="Y386" s="38"/>
      <c r="Z386" s="38"/>
      <c r="AA386" s="38"/>
      <c r="AB386" s="38"/>
      <c r="AC386" s="38"/>
    </row>
    <row r="387" spans="1:29" ht="12.75">
      <c r="A387" s="38"/>
      <c r="B387" s="38"/>
      <c r="C387" s="40"/>
      <c r="D387" s="41"/>
      <c r="E387" s="40"/>
      <c r="F387" s="41"/>
      <c r="G387" s="40"/>
      <c r="H387" s="41"/>
      <c r="I387" s="39"/>
      <c r="J387" s="39"/>
      <c r="K387" s="40"/>
      <c r="L387" s="41"/>
      <c r="M387" s="38"/>
      <c r="N387" s="15"/>
      <c r="O387" s="15"/>
      <c r="P387" s="15"/>
      <c r="Q387" s="15"/>
      <c r="R387" s="16"/>
      <c r="S387" s="38"/>
      <c r="T387" s="38"/>
      <c r="U387" s="38"/>
      <c r="V387" s="38"/>
      <c r="W387" s="38"/>
      <c r="X387" s="38"/>
      <c r="Y387" s="38"/>
      <c r="Z387" s="38"/>
      <c r="AA387" s="38"/>
      <c r="AB387" s="38"/>
      <c r="AC387" s="38"/>
    </row>
    <row r="388" spans="1:29" ht="12.75">
      <c r="A388" s="38"/>
      <c r="B388" s="38"/>
      <c r="C388" s="40"/>
      <c r="D388" s="41"/>
      <c r="E388" s="40"/>
      <c r="F388" s="41"/>
      <c r="G388" s="40"/>
      <c r="H388" s="41"/>
      <c r="I388" s="39"/>
      <c r="J388" s="39"/>
      <c r="K388" s="40"/>
      <c r="L388" s="41"/>
      <c r="M388" s="38"/>
      <c r="N388" s="15"/>
      <c r="O388" s="15"/>
      <c r="P388" s="15"/>
      <c r="Q388" s="15"/>
      <c r="R388" s="16"/>
      <c r="S388" s="38"/>
      <c r="T388" s="38"/>
      <c r="U388" s="38"/>
      <c r="V388" s="38"/>
      <c r="W388" s="38"/>
      <c r="X388" s="38"/>
      <c r="Y388" s="38"/>
      <c r="Z388" s="38"/>
      <c r="AA388" s="38"/>
      <c r="AB388" s="38"/>
      <c r="AC388" s="38"/>
    </row>
    <row r="389" spans="1:29" ht="12.75">
      <c r="A389" s="38"/>
      <c r="B389" s="38"/>
      <c r="C389" s="40"/>
      <c r="D389" s="41"/>
      <c r="E389" s="40"/>
      <c r="F389" s="41"/>
      <c r="G389" s="40"/>
      <c r="H389" s="41"/>
      <c r="I389" s="39"/>
      <c r="J389" s="39"/>
      <c r="K389" s="40"/>
      <c r="L389" s="41"/>
      <c r="M389" s="38"/>
      <c r="N389" s="15"/>
      <c r="O389" s="15"/>
      <c r="P389" s="15"/>
      <c r="Q389" s="15"/>
      <c r="R389" s="16"/>
      <c r="S389" s="38"/>
      <c r="T389" s="38"/>
      <c r="U389" s="38"/>
      <c r="V389" s="38"/>
      <c r="W389" s="38"/>
      <c r="X389" s="38"/>
      <c r="Y389" s="38"/>
      <c r="Z389" s="38"/>
      <c r="AA389" s="38"/>
      <c r="AB389" s="38"/>
      <c r="AC389" s="38"/>
    </row>
    <row r="390" spans="1:29" ht="12.75">
      <c r="A390" s="38"/>
      <c r="B390" s="38"/>
      <c r="C390" s="40"/>
      <c r="D390" s="41"/>
      <c r="E390" s="40"/>
      <c r="F390" s="41"/>
      <c r="G390" s="40"/>
      <c r="H390" s="41"/>
      <c r="I390" s="39"/>
      <c r="J390" s="39"/>
      <c r="K390" s="40"/>
      <c r="L390" s="41"/>
      <c r="M390" s="38"/>
      <c r="N390" s="15"/>
      <c r="O390" s="15"/>
      <c r="P390" s="15"/>
      <c r="Q390" s="15"/>
      <c r="R390" s="16"/>
      <c r="S390" s="38"/>
      <c r="T390" s="38"/>
      <c r="U390" s="38"/>
      <c r="V390" s="38"/>
      <c r="W390" s="38"/>
      <c r="X390" s="38"/>
      <c r="Y390" s="38"/>
      <c r="Z390" s="38"/>
      <c r="AA390" s="38"/>
      <c r="AB390" s="38"/>
      <c r="AC390" s="38"/>
    </row>
    <row r="391" spans="1:29" ht="12.75">
      <c r="A391" s="38"/>
      <c r="B391" s="38"/>
      <c r="C391" s="40"/>
      <c r="D391" s="41"/>
      <c r="E391" s="40"/>
      <c r="F391" s="41"/>
      <c r="G391" s="40"/>
      <c r="H391" s="41"/>
      <c r="I391" s="39"/>
      <c r="J391" s="39"/>
      <c r="K391" s="40"/>
      <c r="L391" s="41"/>
      <c r="M391" s="38"/>
      <c r="N391" s="15"/>
      <c r="O391" s="15"/>
      <c r="P391" s="15"/>
      <c r="Q391" s="15"/>
      <c r="R391" s="16"/>
      <c r="S391" s="38"/>
      <c r="T391" s="38"/>
      <c r="U391" s="38"/>
      <c r="V391" s="38"/>
      <c r="W391" s="38"/>
      <c r="X391" s="38"/>
      <c r="Y391" s="38"/>
      <c r="Z391" s="38"/>
      <c r="AA391" s="38"/>
      <c r="AB391" s="38"/>
      <c r="AC391" s="38"/>
    </row>
    <row r="392" spans="1:29" ht="12.75">
      <c r="A392" s="38"/>
      <c r="B392" s="38"/>
      <c r="C392" s="40"/>
      <c r="D392" s="41"/>
      <c r="E392" s="40"/>
      <c r="F392" s="41"/>
      <c r="G392" s="40"/>
      <c r="H392" s="41"/>
      <c r="I392" s="39"/>
      <c r="J392" s="39"/>
      <c r="K392" s="40"/>
      <c r="L392" s="41"/>
      <c r="M392" s="38"/>
      <c r="N392" s="15"/>
      <c r="O392" s="15"/>
      <c r="P392" s="15"/>
      <c r="Q392" s="15"/>
      <c r="R392" s="16"/>
      <c r="S392" s="38"/>
      <c r="T392" s="38"/>
      <c r="U392" s="38"/>
      <c r="V392" s="38"/>
      <c r="W392" s="38"/>
      <c r="X392" s="38"/>
      <c r="Y392" s="38"/>
      <c r="Z392" s="38"/>
      <c r="AA392" s="38"/>
      <c r="AB392" s="38"/>
      <c r="AC392" s="38"/>
    </row>
    <row r="393" spans="1:29" ht="12.75">
      <c r="A393" s="38"/>
      <c r="B393" s="38"/>
      <c r="C393" s="40"/>
      <c r="D393" s="41"/>
      <c r="E393" s="40"/>
      <c r="F393" s="41"/>
      <c r="G393" s="40"/>
      <c r="H393" s="41"/>
      <c r="I393" s="39"/>
      <c r="J393" s="39"/>
      <c r="K393" s="40"/>
      <c r="L393" s="41"/>
      <c r="M393" s="38"/>
      <c r="N393" s="15"/>
      <c r="O393" s="15"/>
      <c r="P393" s="15"/>
      <c r="Q393" s="15"/>
      <c r="R393" s="16"/>
      <c r="S393" s="38"/>
      <c r="T393" s="38"/>
      <c r="U393" s="38"/>
      <c r="V393" s="38"/>
      <c r="W393" s="38"/>
      <c r="X393" s="38"/>
      <c r="Y393" s="38"/>
      <c r="Z393" s="38"/>
      <c r="AA393" s="38"/>
      <c r="AB393" s="38"/>
      <c r="AC393" s="38"/>
    </row>
    <row r="394" spans="1:29" ht="12.75">
      <c r="A394" s="38"/>
      <c r="B394" s="38"/>
      <c r="C394" s="40"/>
      <c r="D394" s="41"/>
      <c r="E394" s="40"/>
      <c r="F394" s="41"/>
      <c r="G394" s="40"/>
      <c r="H394" s="41"/>
      <c r="I394" s="39"/>
      <c r="J394" s="39"/>
      <c r="K394" s="40"/>
      <c r="L394" s="41"/>
      <c r="M394" s="38"/>
      <c r="N394" s="15"/>
      <c r="O394" s="15"/>
      <c r="P394" s="15"/>
      <c r="Q394" s="15"/>
      <c r="R394" s="16"/>
      <c r="S394" s="38"/>
      <c r="T394" s="38"/>
      <c r="U394" s="38"/>
      <c r="V394" s="38"/>
      <c r="W394" s="38"/>
      <c r="X394" s="38"/>
      <c r="Y394" s="38"/>
      <c r="Z394" s="38"/>
      <c r="AA394" s="38"/>
      <c r="AB394" s="38"/>
      <c r="AC394" s="38"/>
    </row>
    <row r="395" spans="1:29" ht="12.75">
      <c r="A395" s="38"/>
      <c r="B395" s="38"/>
      <c r="C395" s="40"/>
      <c r="D395" s="41"/>
      <c r="E395" s="40"/>
      <c r="F395" s="41"/>
      <c r="G395" s="40"/>
      <c r="H395" s="41"/>
      <c r="I395" s="39"/>
      <c r="J395" s="39"/>
      <c r="K395" s="40"/>
      <c r="L395" s="41"/>
      <c r="M395" s="38"/>
      <c r="N395" s="15"/>
      <c r="O395" s="15"/>
      <c r="P395" s="15"/>
      <c r="Q395" s="15"/>
      <c r="R395" s="16"/>
      <c r="S395" s="38"/>
      <c r="T395" s="38"/>
      <c r="U395" s="38"/>
      <c r="V395" s="38"/>
      <c r="W395" s="38"/>
      <c r="X395" s="38"/>
      <c r="Y395" s="38"/>
      <c r="Z395" s="38"/>
      <c r="AA395" s="38"/>
      <c r="AB395" s="38"/>
      <c r="AC395" s="38"/>
    </row>
    <row r="396" spans="1:29" ht="12.75">
      <c r="A396" s="38"/>
      <c r="B396" s="38"/>
      <c r="C396" s="40"/>
      <c r="D396" s="41"/>
      <c r="E396" s="40"/>
      <c r="F396" s="41"/>
      <c r="G396" s="40"/>
      <c r="H396" s="41"/>
      <c r="I396" s="39"/>
      <c r="J396" s="39"/>
      <c r="K396" s="40"/>
      <c r="L396" s="41"/>
      <c r="M396" s="38"/>
      <c r="N396" s="15"/>
      <c r="O396" s="15"/>
      <c r="P396" s="15"/>
      <c r="Q396" s="15"/>
      <c r="R396" s="16"/>
      <c r="S396" s="38"/>
      <c r="T396" s="38"/>
      <c r="U396" s="38"/>
      <c r="V396" s="38"/>
      <c r="W396" s="38"/>
      <c r="X396" s="38"/>
      <c r="Y396" s="38"/>
      <c r="Z396" s="38"/>
      <c r="AA396" s="38"/>
      <c r="AB396" s="38"/>
      <c r="AC396" s="38"/>
    </row>
    <row r="397" spans="1:29" ht="12.75">
      <c r="A397" s="38"/>
      <c r="B397" s="38"/>
      <c r="C397" s="40"/>
      <c r="D397" s="41"/>
      <c r="E397" s="40"/>
      <c r="F397" s="41"/>
      <c r="G397" s="40"/>
      <c r="H397" s="41"/>
      <c r="I397" s="39"/>
      <c r="J397" s="39"/>
      <c r="K397" s="40"/>
      <c r="L397" s="41"/>
      <c r="M397" s="38"/>
      <c r="N397" s="15"/>
      <c r="O397" s="15"/>
      <c r="P397" s="15"/>
      <c r="Q397" s="15"/>
      <c r="R397" s="16"/>
      <c r="S397" s="38"/>
      <c r="T397" s="38"/>
      <c r="U397" s="38"/>
      <c r="V397" s="38"/>
      <c r="W397" s="38"/>
      <c r="X397" s="38"/>
      <c r="Y397" s="38"/>
      <c r="Z397" s="38"/>
      <c r="AA397" s="38"/>
      <c r="AB397" s="38"/>
      <c r="AC397" s="38"/>
    </row>
    <row r="398" spans="1:29" ht="12.75">
      <c r="A398" s="38"/>
      <c r="B398" s="38"/>
      <c r="C398" s="40"/>
      <c r="D398" s="41"/>
      <c r="E398" s="40"/>
      <c r="F398" s="41"/>
      <c r="G398" s="40"/>
      <c r="H398" s="41"/>
      <c r="I398" s="39"/>
      <c r="J398" s="39"/>
      <c r="K398" s="40"/>
      <c r="L398" s="41"/>
      <c r="M398" s="38"/>
      <c r="N398" s="15"/>
      <c r="O398" s="15"/>
      <c r="P398" s="15"/>
      <c r="Q398" s="15"/>
      <c r="R398" s="16"/>
      <c r="S398" s="38"/>
      <c r="T398" s="38"/>
      <c r="U398" s="38"/>
      <c r="V398" s="38"/>
      <c r="W398" s="38"/>
      <c r="X398" s="38"/>
      <c r="Y398" s="38"/>
      <c r="Z398" s="38"/>
      <c r="AA398" s="38"/>
      <c r="AB398" s="38"/>
      <c r="AC398" s="38"/>
    </row>
    <row r="399" spans="1:29" ht="12.75">
      <c r="A399" s="38"/>
      <c r="B399" s="38"/>
      <c r="C399" s="40"/>
      <c r="D399" s="41"/>
      <c r="E399" s="40"/>
      <c r="F399" s="41"/>
      <c r="G399" s="40"/>
      <c r="H399" s="41"/>
      <c r="I399" s="39"/>
      <c r="J399" s="39"/>
      <c r="K399" s="40"/>
      <c r="L399" s="41"/>
      <c r="M399" s="38"/>
      <c r="N399" s="15"/>
      <c r="O399" s="15"/>
      <c r="P399" s="15"/>
      <c r="Q399" s="15"/>
      <c r="R399" s="16"/>
      <c r="S399" s="38"/>
      <c r="T399" s="38"/>
      <c r="U399" s="38"/>
      <c r="V399" s="38"/>
      <c r="W399" s="38"/>
      <c r="X399" s="38"/>
      <c r="Y399" s="38"/>
      <c r="Z399" s="38"/>
      <c r="AA399" s="38"/>
      <c r="AB399" s="38"/>
      <c r="AC399" s="38"/>
    </row>
    <row r="400" spans="1:29" ht="12.75">
      <c r="A400" s="38"/>
      <c r="B400" s="38"/>
      <c r="C400" s="40"/>
      <c r="D400" s="41"/>
      <c r="E400" s="40"/>
      <c r="F400" s="41"/>
      <c r="G400" s="40"/>
      <c r="H400" s="41"/>
      <c r="I400" s="39"/>
      <c r="J400" s="39"/>
      <c r="K400" s="40"/>
      <c r="L400" s="41"/>
      <c r="M400" s="38"/>
      <c r="N400" s="15"/>
      <c r="O400" s="15"/>
      <c r="P400" s="15"/>
      <c r="Q400" s="15"/>
      <c r="R400" s="16"/>
      <c r="S400" s="38"/>
      <c r="T400" s="38"/>
      <c r="U400" s="38"/>
      <c r="V400" s="38"/>
      <c r="W400" s="38"/>
      <c r="X400" s="38"/>
      <c r="Y400" s="38"/>
      <c r="Z400" s="38"/>
      <c r="AA400" s="38"/>
      <c r="AB400" s="38"/>
      <c r="AC400" s="38"/>
    </row>
    <row r="401" spans="1:29" ht="12.75">
      <c r="A401" s="38"/>
      <c r="B401" s="38"/>
      <c r="C401" s="40"/>
      <c r="D401" s="41"/>
      <c r="E401" s="40"/>
      <c r="F401" s="41"/>
      <c r="G401" s="40"/>
      <c r="H401" s="41"/>
      <c r="I401" s="39"/>
      <c r="J401" s="39"/>
      <c r="K401" s="40"/>
      <c r="L401" s="41"/>
      <c r="M401" s="38"/>
      <c r="N401" s="15"/>
      <c r="O401" s="15"/>
      <c r="P401" s="15"/>
      <c r="Q401" s="15"/>
      <c r="R401" s="16"/>
      <c r="S401" s="38"/>
      <c r="T401" s="38"/>
      <c r="U401" s="38"/>
      <c r="V401" s="38"/>
      <c r="W401" s="38"/>
      <c r="X401" s="38"/>
      <c r="Y401" s="38"/>
      <c r="Z401" s="38"/>
      <c r="AA401" s="38"/>
      <c r="AB401" s="38"/>
      <c r="AC401" s="38"/>
    </row>
    <row r="402" spans="1:29" ht="12.75">
      <c r="A402" s="38"/>
      <c r="B402" s="38"/>
      <c r="C402" s="40"/>
      <c r="D402" s="41"/>
      <c r="E402" s="40"/>
      <c r="F402" s="41"/>
      <c r="G402" s="40"/>
      <c r="H402" s="41"/>
      <c r="I402" s="39"/>
      <c r="J402" s="39"/>
      <c r="K402" s="40"/>
      <c r="L402" s="41"/>
      <c r="M402" s="38"/>
      <c r="N402" s="15"/>
      <c r="O402" s="15"/>
      <c r="P402" s="15"/>
      <c r="Q402" s="15"/>
      <c r="R402" s="16"/>
      <c r="S402" s="38"/>
      <c r="T402" s="38"/>
      <c r="U402" s="38"/>
      <c r="V402" s="38"/>
      <c r="W402" s="38"/>
      <c r="X402" s="38"/>
      <c r="Y402" s="38"/>
      <c r="Z402" s="38"/>
      <c r="AA402" s="38"/>
      <c r="AB402" s="38"/>
      <c r="AC402" s="38"/>
    </row>
    <row r="403" spans="1:29" ht="12.75">
      <c r="A403" s="38"/>
      <c r="B403" s="38"/>
      <c r="C403" s="40"/>
      <c r="D403" s="41"/>
      <c r="E403" s="40"/>
      <c r="F403" s="41"/>
      <c r="G403" s="40"/>
      <c r="H403" s="41"/>
      <c r="I403" s="39"/>
      <c r="J403" s="39"/>
      <c r="K403" s="40"/>
      <c r="L403" s="41"/>
      <c r="M403" s="38"/>
      <c r="N403" s="15"/>
      <c r="O403" s="15"/>
      <c r="P403" s="15"/>
      <c r="Q403" s="15"/>
      <c r="R403" s="16"/>
      <c r="S403" s="38"/>
      <c r="T403" s="38"/>
      <c r="U403" s="38"/>
      <c r="V403" s="38"/>
      <c r="W403" s="38"/>
      <c r="X403" s="38"/>
      <c r="Y403" s="38"/>
      <c r="Z403" s="38"/>
      <c r="AA403" s="38"/>
      <c r="AB403" s="38"/>
      <c r="AC403" s="38"/>
    </row>
    <row r="404" spans="1:29" ht="12.75">
      <c r="A404" s="38"/>
      <c r="B404" s="38"/>
      <c r="C404" s="40"/>
      <c r="D404" s="41"/>
      <c r="E404" s="40"/>
      <c r="F404" s="41"/>
      <c r="G404" s="40"/>
      <c r="H404" s="41"/>
      <c r="I404" s="39"/>
      <c r="J404" s="39"/>
      <c r="K404" s="40"/>
      <c r="L404" s="41"/>
      <c r="M404" s="38"/>
      <c r="N404" s="15"/>
      <c r="O404" s="15"/>
      <c r="P404" s="15"/>
      <c r="Q404" s="15"/>
      <c r="R404" s="16"/>
      <c r="S404" s="38"/>
      <c r="T404" s="38"/>
      <c r="U404" s="38"/>
      <c r="V404" s="38"/>
      <c r="W404" s="38"/>
      <c r="X404" s="38"/>
      <c r="Y404" s="38"/>
      <c r="Z404" s="38"/>
      <c r="AA404" s="38"/>
      <c r="AB404" s="38"/>
      <c r="AC404" s="38"/>
    </row>
    <row r="405" spans="1:29" ht="12.75">
      <c r="A405" s="38"/>
      <c r="B405" s="38"/>
      <c r="C405" s="40"/>
      <c r="D405" s="41"/>
      <c r="E405" s="40"/>
      <c r="F405" s="41"/>
      <c r="G405" s="40"/>
      <c r="H405" s="41"/>
      <c r="I405" s="39"/>
      <c r="J405" s="39"/>
      <c r="K405" s="40"/>
      <c r="L405" s="41"/>
      <c r="M405" s="38"/>
      <c r="N405" s="15"/>
      <c r="O405" s="15"/>
      <c r="P405" s="15"/>
      <c r="Q405" s="15"/>
      <c r="R405" s="16"/>
      <c r="S405" s="38"/>
      <c r="T405" s="38"/>
      <c r="U405" s="38"/>
      <c r="V405" s="38"/>
      <c r="W405" s="38"/>
      <c r="X405" s="38"/>
      <c r="Y405" s="38"/>
      <c r="Z405" s="38"/>
      <c r="AA405" s="38"/>
      <c r="AB405" s="38"/>
      <c r="AC405" s="38"/>
    </row>
    <row r="406" spans="1:29" ht="12.75">
      <c r="A406" s="38"/>
      <c r="B406" s="38"/>
      <c r="C406" s="40"/>
      <c r="D406" s="41"/>
      <c r="E406" s="40"/>
      <c r="F406" s="41"/>
      <c r="G406" s="40"/>
      <c r="H406" s="41"/>
      <c r="I406" s="39"/>
      <c r="J406" s="39"/>
      <c r="K406" s="40"/>
      <c r="L406" s="41"/>
      <c r="M406" s="38"/>
      <c r="N406" s="15"/>
      <c r="O406" s="15"/>
      <c r="P406" s="15"/>
      <c r="Q406" s="15"/>
      <c r="R406" s="16"/>
      <c r="S406" s="38"/>
      <c r="T406" s="38"/>
      <c r="U406" s="38"/>
      <c r="V406" s="38"/>
      <c r="W406" s="38"/>
      <c r="X406" s="38"/>
      <c r="Y406" s="38"/>
      <c r="Z406" s="38"/>
      <c r="AA406" s="38"/>
      <c r="AB406" s="38"/>
      <c r="AC406" s="38"/>
    </row>
    <row r="407" spans="1:29" ht="12.75">
      <c r="A407" s="38"/>
      <c r="B407" s="38"/>
      <c r="C407" s="40"/>
      <c r="D407" s="41"/>
      <c r="E407" s="40"/>
      <c r="F407" s="41"/>
      <c r="G407" s="40"/>
      <c r="H407" s="41"/>
      <c r="I407" s="39"/>
      <c r="J407" s="39"/>
      <c r="K407" s="40"/>
      <c r="L407" s="41"/>
      <c r="M407" s="38"/>
      <c r="N407" s="15"/>
      <c r="O407" s="15"/>
      <c r="P407" s="15"/>
      <c r="Q407" s="15"/>
      <c r="R407" s="16"/>
      <c r="S407" s="38"/>
      <c r="T407" s="38"/>
      <c r="U407" s="38"/>
      <c r="V407" s="38"/>
      <c r="W407" s="38"/>
      <c r="X407" s="38"/>
      <c r="Y407" s="38"/>
      <c r="Z407" s="38"/>
      <c r="AA407" s="38"/>
      <c r="AB407" s="38"/>
      <c r="AC407" s="38"/>
    </row>
    <row r="408" spans="1:29" ht="12.75">
      <c r="A408" s="38"/>
      <c r="B408" s="38"/>
      <c r="C408" s="40"/>
      <c r="D408" s="41"/>
      <c r="E408" s="40"/>
      <c r="F408" s="41"/>
      <c r="G408" s="40"/>
      <c r="H408" s="41"/>
      <c r="I408" s="39"/>
      <c r="J408" s="39"/>
      <c r="K408" s="40"/>
      <c r="L408" s="41"/>
      <c r="M408" s="38"/>
      <c r="N408" s="15"/>
      <c r="O408" s="15"/>
      <c r="P408" s="15"/>
      <c r="Q408" s="15"/>
      <c r="R408" s="16"/>
      <c r="S408" s="38"/>
      <c r="T408" s="38"/>
      <c r="U408" s="38"/>
      <c r="V408" s="38"/>
      <c r="W408" s="38"/>
      <c r="X408" s="38"/>
      <c r="Y408" s="38"/>
      <c r="Z408" s="38"/>
      <c r="AA408" s="38"/>
      <c r="AB408" s="38"/>
      <c r="AC408" s="38"/>
    </row>
    <row r="409" spans="1:29" ht="12.75">
      <c r="A409" s="38"/>
      <c r="B409" s="38"/>
      <c r="C409" s="40"/>
      <c r="D409" s="41"/>
      <c r="E409" s="40"/>
      <c r="F409" s="41"/>
      <c r="G409" s="40"/>
      <c r="H409" s="41"/>
      <c r="I409" s="39"/>
      <c r="J409" s="39"/>
      <c r="K409" s="40"/>
      <c r="L409" s="41"/>
      <c r="M409" s="38"/>
      <c r="N409" s="15"/>
      <c r="O409" s="15"/>
      <c r="P409" s="15"/>
      <c r="Q409" s="15"/>
      <c r="R409" s="16"/>
      <c r="S409" s="38"/>
      <c r="T409" s="38"/>
      <c r="U409" s="38"/>
      <c r="V409" s="38"/>
      <c r="W409" s="38"/>
      <c r="X409" s="38"/>
      <c r="Y409" s="38"/>
      <c r="Z409" s="38"/>
      <c r="AA409" s="38"/>
      <c r="AB409" s="38"/>
      <c r="AC409" s="38"/>
    </row>
    <row r="410" spans="1:29" ht="12.75">
      <c r="A410" s="38"/>
      <c r="B410" s="38"/>
      <c r="C410" s="40"/>
      <c r="D410" s="41"/>
      <c r="E410" s="40"/>
      <c r="F410" s="41"/>
      <c r="G410" s="40"/>
      <c r="H410" s="41"/>
      <c r="I410" s="39"/>
      <c r="J410" s="39"/>
      <c r="K410" s="40"/>
      <c r="L410" s="41"/>
      <c r="M410" s="38"/>
      <c r="N410" s="15"/>
      <c r="O410" s="15"/>
      <c r="P410" s="15"/>
      <c r="Q410" s="15"/>
      <c r="R410" s="16"/>
      <c r="S410" s="38"/>
      <c r="T410" s="38"/>
      <c r="U410" s="38"/>
      <c r="V410" s="38"/>
      <c r="W410" s="38"/>
      <c r="X410" s="38"/>
      <c r="Y410" s="38"/>
      <c r="Z410" s="38"/>
      <c r="AA410" s="38"/>
      <c r="AB410" s="38"/>
      <c r="AC410" s="38"/>
    </row>
    <row r="411" spans="1:29" ht="12.75">
      <c r="A411" s="38"/>
      <c r="B411" s="38"/>
      <c r="C411" s="40"/>
      <c r="D411" s="41"/>
      <c r="E411" s="40"/>
      <c r="F411" s="41"/>
      <c r="G411" s="40"/>
      <c r="H411" s="41"/>
      <c r="I411" s="39"/>
      <c r="J411" s="39"/>
      <c r="K411" s="40"/>
      <c r="L411" s="41"/>
      <c r="M411" s="38"/>
      <c r="N411" s="15"/>
      <c r="O411" s="15"/>
      <c r="P411" s="15"/>
      <c r="Q411" s="15"/>
      <c r="R411" s="16"/>
      <c r="S411" s="38"/>
      <c r="T411" s="38"/>
      <c r="U411" s="38"/>
      <c r="V411" s="38"/>
      <c r="W411" s="38"/>
      <c r="X411" s="38"/>
      <c r="Y411" s="38"/>
      <c r="Z411" s="38"/>
      <c r="AA411" s="38"/>
      <c r="AB411" s="38"/>
      <c r="AC411" s="38"/>
    </row>
    <row r="412" spans="1:29" ht="12.75">
      <c r="A412" s="38"/>
      <c r="B412" s="38"/>
      <c r="C412" s="40"/>
      <c r="D412" s="41"/>
      <c r="E412" s="40"/>
      <c r="F412" s="41"/>
      <c r="G412" s="40"/>
      <c r="H412" s="41"/>
      <c r="I412" s="39"/>
      <c r="J412" s="39"/>
      <c r="K412" s="40"/>
      <c r="L412" s="41"/>
      <c r="M412" s="38"/>
      <c r="N412" s="15"/>
      <c r="O412" s="15"/>
      <c r="P412" s="15"/>
      <c r="Q412" s="15"/>
      <c r="R412" s="16"/>
      <c r="S412" s="38"/>
      <c r="T412" s="38"/>
      <c r="U412" s="38"/>
      <c r="V412" s="38"/>
      <c r="W412" s="38"/>
      <c r="X412" s="38"/>
      <c r="Y412" s="38"/>
      <c r="Z412" s="38"/>
      <c r="AA412" s="38"/>
      <c r="AB412" s="38"/>
      <c r="AC412" s="38"/>
    </row>
    <row r="413" spans="1:29" ht="12.75">
      <c r="A413" s="38"/>
      <c r="B413" s="38"/>
      <c r="C413" s="40"/>
      <c r="D413" s="41"/>
      <c r="E413" s="40"/>
      <c r="F413" s="41"/>
      <c r="G413" s="40"/>
      <c r="H413" s="41"/>
      <c r="I413" s="39"/>
      <c r="J413" s="39"/>
      <c r="K413" s="40"/>
      <c r="L413" s="41"/>
      <c r="M413" s="38"/>
      <c r="N413" s="15"/>
      <c r="O413" s="15"/>
      <c r="P413" s="15"/>
      <c r="Q413" s="15"/>
      <c r="R413" s="16"/>
      <c r="S413" s="38"/>
      <c r="T413" s="38"/>
      <c r="U413" s="38"/>
      <c r="V413" s="38"/>
      <c r="W413" s="38"/>
      <c r="X413" s="38"/>
      <c r="Y413" s="38"/>
      <c r="Z413" s="38"/>
      <c r="AA413" s="38"/>
      <c r="AB413" s="38"/>
      <c r="AC413" s="38"/>
    </row>
    <row r="414" spans="1:29" ht="12.75">
      <c r="A414" s="38"/>
      <c r="B414" s="38"/>
      <c r="C414" s="40"/>
      <c r="D414" s="41"/>
      <c r="E414" s="40"/>
      <c r="F414" s="41"/>
      <c r="G414" s="40"/>
      <c r="H414" s="41"/>
      <c r="I414" s="39"/>
      <c r="J414" s="39"/>
      <c r="K414" s="40"/>
      <c r="L414" s="41"/>
      <c r="M414" s="38"/>
      <c r="N414" s="15"/>
      <c r="O414" s="15"/>
      <c r="P414" s="15"/>
      <c r="Q414" s="15"/>
      <c r="R414" s="16"/>
      <c r="S414" s="38"/>
      <c r="T414" s="38"/>
      <c r="U414" s="38"/>
      <c r="V414" s="38"/>
      <c r="W414" s="38"/>
      <c r="X414" s="38"/>
      <c r="Y414" s="38"/>
      <c r="Z414" s="38"/>
      <c r="AA414" s="38"/>
      <c r="AB414" s="38"/>
      <c r="AC414" s="38"/>
    </row>
    <row r="415" spans="1:29" ht="12.75">
      <c r="A415" s="38"/>
      <c r="B415" s="38"/>
      <c r="C415" s="40"/>
      <c r="D415" s="41"/>
      <c r="E415" s="40"/>
      <c r="F415" s="41"/>
      <c r="G415" s="40"/>
      <c r="H415" s="41"/>
      <c r="I415" s="39"/>
      <c r="J415" s="39"/>
      <c r="K415" s="40"/>
      <c r="L415" s="41"/>
      <c r="M415" s="38"/>
      <c r="N415" s="15"/>
      <c r="O415" s="15"/>
      <c r="P415" s="15"/>
      <c r="Q415" s="15"/>
      <c r="R415" s="16"/>
      <c r="S415" s="38"/>
      <c r="T415" s="38"/>
      <c r="U415" s="38"/>
      <c r="V415" s="38"/>
      <c r="W415" s="38"/>
      <c r="X415" s="38"/>
      <c r="Y415" s="38"/>
      <c r="Z415" s="38"/>
      <c r="AA415" s="38"/>
      <c r="AB415" s="38"/>
      <c r="AC415" s="38"/>
    </row>
    <row r="416" spans="1:29" ht="12.75">
      <c r="A416" s="38"/>
      <c r="B416" s="38"/>
      <c r="C416" s="40"/>
      <c r="D416" s="41"/>
      <c r="E416" s="40"/>
      <c r="F416" s="41"/>
      <c r="G416" s="40"/>
      <c r="H416" s="41"/>
      <c r="I416" s="39"/>
      <c r="J416" s="39"/>
      <c r="K416" s="40"/>
      <c r="L416" s="41"/>
      <c r="M416" s="38"/>
      <c r="N416" s="15"/>
      <c r="O416" s="15"/>
      <c r="P416" s="15"/>
      <c r="Q416" s="15"/>
      <c r="R416" s="16"/>
      <c r="S416" s="38"/>
      <c r="T416" s="38"/>
      <c r="U416" s="38"/>
      <c r="V416" s="38"/>
      <c r="W416" s="38"/>
      <c r="X416" s="38"/>
      <c r="Y416" s="38"/>
      <c r="Z416" s="38"/>
      <c r="AA416" s="38"/>
      <c r="AB416" s="38"/>
      <c r="AC416" s="38"/>
    </row>
    <row r="417" spans="1:29" ht="12.75">
      <c r="A417" s="38"/>
      <c r="B417" s="38"/>
      <c r="C417" s="40"/>
      <c r="D417" s="41"/>
      <c r="E417" s="40"/>
      <c r="F417" s="41"/>
      <c r="G417" s="40"/>
      <c r="H417" s="41"/>
      <c r="I417" s="39"/>
      <c r="J417" s="39"/>
      <c r="K417" s="40"/>
      <c r="L417" s="41"/>
      <c r="M417" s="38"/>
      <c r="N417" s="15"/>
      <c r="O417" s="15"/>
      <c r="P417" s="15"/>
      <c r="Q417" s="15"/>
      <c r="R417" s="16"/>
      <c r="S417" s="38"/>
      <c r="T417" s="38"/>
      <c r="U417" s="38"/>
      <c r="V417" s="38"/>
      <c r="W417" s="38"/>
      <c r="X417" s="38"/>
      <c r="Y417" s="38"/>
      <c r="Z417" s="38"/>
      <c r="AA417" s="38"/>
      <c r="AB417" s="38"/>
      <c r="AC417" s="38"/>
    </row>
    <row r="418" spans="1:29" ht="12.75">
      <c r="A418" s="38"/>
      <c r="B418" s="38"/>
      <c r="C418" s="40"/>
      <c r="D418" s="41"/>
      <c r="E418" s="40"/>
      <c r="F418" s="41"/>
      <c r="G418" s="40"/>
      <c r="H418" s="41"/>
      <c r="I418" s="39"/>
      <c r="J418" s="39"/>
      <c r="K418" s="40"/>
      <c r="L418" s="41"/>
      <c r="M418" s="38"/>
      <c r="N418" s="15"/>
      <c r="O418" s="15"/>
      <c r="P418" s="15"/>
      <c r="Q418" s="15"/>
      <c r="R418" s="16"/>
      <c r="S418" s="38"/>
      <c r="T418" s="38"/>
      <c r="U418" s="38"/>
      <c r="V418" s="38"/>
      <c r="W418" s="38"/>
      <c r="X418" s="38"/>
      <c r="Y418" s="38"/>
      <c r="Z418" s="38"/>
      <c r="AA418" s="38"/>
      <c r="AB418" s="38"/>
      <c r="AC418" s="38"/>
    </row>
    <row r="419" spans="1:29" ht="12.75">
      <c r="A419" s="38"/>
      <c r="B419" s="38"/>
      <c r="C419" s="40"/>
      <c r="D419" s="41"/>
      <c r="E419" s="40"/>
      <c r="F419" s="41"/>
      <c r="G419" s="40"/>
      <c r="H419" s="41"/>
      <c r="I419" s="39"/>
      <c r="J419" s="39"/>
      <c r="K419" s="40"/>
      <c r="L419" s="41"/>
      <c r="M419" s="38"/>
      <c r="N419" s="15"/>
      <c r="O419" s="15"/>
      <c r="P419" s="15"/>
      <c r="Q419" s="15"/>
      <c r="R419" s="16"/>
      <c r="S419" s="38"/>
      <c r="T419" s="38"/>
      <c r="U419" s="38"/>
      <c r="V419" s="38"/>
      <c r="W419" s="38"/>
      <c r="X419" s="38"/>
      <c r="Y419" s="38"/>
      <c r="Z419" s="38"/>
      <c r="AA419" s="38"/>
      <c r="AB419" s="38"/>
      <c r="AC419" s="38"/>
    </row>
    <row r="420" spans="1:29" ht="12.75">
      <c r="A420" s="38"/>
      <c r="B420" s="38"/>
      <c r="C420" s="40"/>
      <c r="D420" s="41"/>
      <c r="E420" s="40"/>
      <c r="F420" s="41"/>
      <c r="G420" s="40"/>
      <c r="H420" s="41"/>
      <c r="I420" s="39"/>
      <c r="J420" s="39"/>
      <c r="K420" s="40"/>
      <c r="L420" s="41"/>
      <c r="M420" s="38"/>
      <c r="N420" s="15"/>
      <c r="O420" s="15"/>
      <c r="P420" s="15"/>
      <c r="Q420" s="15"/>
      <c r="R420" s="16"/>
      <c r="S420" s="38"/>
      <c r="T420" s="38"/>
      <c r="U420" s="38"/>
      <c r="V420" s="38"/>
      <c r="W420" s="38"/>
      <c r="X420" s="38"/>
      <c r="Y420" s="38"/>
      <c r="Z420" s="38"/>
      <c r="AA420" s="38"/>
      <c r="AB420" s="38"/>
      <c r="AC420" s="38"/>
    </row>
    <row r="421" spans="1:29" ht="12.75">
      <c r="A421" s="38"/>
      <c r="B421" s="38"/>
      <c r="C421" s="40"/>
      <c r="D421" s="41"/>
      <c r="E421" s="40"/>
      <c r="F421" s="41"/>
      <c r="G421" s="40"/>
      <c r="H421" s="41"/>
      <c r="I421" s="39"/>
      <c r="J421" s="39"/>
      <c r="K421" s="40"/>
      <c r="L421" s="41"/>
      <c r="M421" s="38"/>
      <c r="N421" s="15"/>
      <c r="O421" s="15"/>
      <c r="P421" s="15"/>
      <c r="Q421" s="15"/>
      <c r="R421" s="16"/>
      <c r="S421" s="38"/>
      <c r="T421" s="38"/>
      <c r="U421" s="38"/>
      <c r="V421" s="38"/>
      <c r="W421" s="38"/>
      <c r="X421" s="38"/>
      <c r="Y421" s="38"/>
      <c r="Z421" s="38"/>
      <c r="AA421" s="38"/>
      <c r="AB421" s="38"/>
      <c r="AC421" s="38"/>
    </row>
    <row r="422" spans="1:29" ht="12.75">
      <c r="A422" s="38"/>
      <c r="B422" s="38"/>
      <c r="C422" s="40"/>
      <c r="D422" s="41"/>
      <c r="E422" s="40"/>
      <c r="F422" s="41"/>
      <c r="G422" s="40"/>
      <c r="H422" s="41"/>
      <c r="I422" s="39"/>
      <c r="J422" s="39"/>
      <c r="K422" s="40"/>
      <c r="L422" s="41"/>
      <c r="M422" s="38"/>
      <c r="N422" s="15"/>
      <c r="O422" s="15"/>
      <c r="P422" s="15"/>
      <c r="Q422" s="15"/>
      <c r="R422" s="16"/>
      <c r="S422" s="38"/>
      <c r="T422" s="38"/>
      <c r="U422" s="38"/>
      <c r="V422" s="38"/>
      <c r="W422" s="38"/>
      <c r="X422" s="38"/>
      <c r="Y422" s="38"/>
      <c r="Z422" s="38"/>
      <c r="AA422" s="38"/>
      <c r="AB422" s="38"/>
      <c r="AC422" s="38"/>
    </row>
    <row r="423" spans="1:29" ht="12.75">
      <c r="A423" s="38"/>
      <c r="B423" s="38"/>
      <c r="C423" s="40"/>
      <c r="D423" s="41"/>
      <c r="E423" s="40"/>
      <c r="F423" s="41"/>
      <c r="G423" s="40"/>
      <c r="H423" s="41"/>
      <c r="I423" s="39"/>
      <c r="J423" s="39"/>
      <c r="K423" s="40"/>
      <c r="L423" s="41"/>
      <c r="M423" s="38"/>
      <c r="N423" s="15"/>
      <c r="O423" s="15"/>
      <c r="P423" s="15"/>
      <c r="Q423" s="15"/>
      <c r="R423" s="16"/>
      <c r="S423" s="38"/>
      <c r="T423" s="38"/>
      <c r="U423" s="38"/>
      <c r="V423" s="38"/>
      <c r="W423" s="38"/>
      <c r="X423" s="38"/>
      <c r="Y423" s="38"/>
      <c r="Z423" s="38"/>
      <c r="AA423" s="38"/>
      <c r="AB423" s="38"/>
      <c r="AC423" s="38"/>
    </row>
    <row r="424" spans="1:29" ht="12.75">
      <c r="A424" s="38"/>
      <c r="B424" s="38"/>
      <c r="C424" s="40"/>
      <c r="D424" s="41"/>
      <c r="E424" s="40"/>
      <c r="F424" s="41"/>
      <c r="G424" s="40"/>
      <c r="H424" s="41"/>
      <c r="I424" s="39"/>
      <c r="J424" s="39"/>
      <c r="K424" s="40"/>
      <c r="L424" s="41"/>
      <c r="M424" s="38"/>
      <c r="N424" s="15"/>
      <c r="O424" s="15"/>
      <c r="P424" s="15"/>
      <c r="Q424" s="15"/>
      <c r="R424" s="16"/>
      <c r="S424" s="38"/>
      <c r="T424" s="38"/>
      <c r="U424" s="38"/>
      <c r="V424" s="38"/>
      <c r="W424" s="38"/>
      <c r="X424" s="38"/>
      <c r="Y424" s="38"/>
      <c r="Z424" s="38"/>
      <c r="AA424" s="38"/>
      <c r="AB424" s="38"/>
      <c r="AC424" s="38"/>
    </row>
    <row r="425" spans="1:29" ht="12.75">
      <c r="A425" s="38"/>
      <c r="B425" s="38"/>
      <c r="C425" s="40"/>
      <c r="D425" s="41"/>
      <c r="E425" s="40"/>
      <c r="F425" s="41"/>
      <c r="G425" s="40"/>
      <c r="H425" s="41"/>
      <c r="I425" s="39"/>
      <c r="J425" s="39"/>
      <c r="K425" s="40"/>
      <c r="L425" s="41"/>
      <c r="M425" s="38"/>
      <c r="N425" s="15"/>
      <c r="O425" s="15"/>
      <c r="P425" s="15"/>
      <c r="Q425" s="15"/>
      <c r="R425" s="16"/>
      <c r="S425" s="38"/>
      <c r="T425" s="38"/>
      <c r="U425" s="38"/>
      <c r="V425" s="38"/>
      <c r="W425" s="38"/>
      <c r="X425" s="38"/>
      <c r="Y425" s="38"/>
      <c r="Z425" s="38"/>
      <c r="AA425" s="38"/>
      <c r="AB425" s="38"/>
      <c r="AC425" s="38"/>
    </row>
    <row r="426" spans="1:29" ht="12.75">
      <c r="A426" s="38"/>
      <c r="B426" s="38"/>
      <c r="C426" s="40"/>
      <c r="D426" s="41"/>
      <c r="E426" s="40"/>
      <c r="F426" s="41"/>
      <c r="G426" s="40"/>
      <c r="H426" s="41"/>
      <c r="I426" s="39"/>
      <c r="J426" s="39"/>
      <c r="K426" s="40"/>
      <c r="L426" s="41"/>
      <c r="M426" s="38"/>
      <c r="N426" s="15"/>
      <c r="O426" s="15"/>
      <c r="P426" s="15"/>
      <c r="Q426" s="15"/>
      <c r="R426" s="16"/>
      <c r="S426" s="38"/>
      <c r="T426" s="38"/>
      <c r="U426" s="38"/>
      <c r="V426" s="38"/>
      <c r="W426" s="38"/>
      <c r="X426" s="38"/>
      <c r="Y426" s="38"/>
      <c r="Z426" s="38"/>
      <c r="AA426" s="38"/>
      <c r="AB426" s="38"/>
      <c r="AC426" s="38"/>
    </row>
    <row r="427" spans="1:29" ht="12.75">
      <c r="A427" s="38"/>
      <c r="B427" s="38"/>
      <c r="C427" s="40"/>
      <c r="D427" s="41"/>
      <c r="E427" s="40"/>
      <c r="F427" s="41"/>
      <c r="G427" s="40"/>
      <c r="H427" s="41"/>
      <c r="I427" s="39"/>
      <c r="J427" s="39"/>
      <c r="K427" s="40"/>
      <c r="L427" s="41"/>
      <c r="M427" s="38"/>
      <c r="N427" s="15"/>
      <c r="O427" s="15"/>
      <c r="P427" s="15"/>
      <c r="Q427" s="15"/>
      <c r="R427" s="16"/>
      <c r="S427" s="38"/>
      <c r="T427" s="38"/>
      <c r="U427" s="38"/>
      <c r="V427" s="38"/>
      <c r="W427" s="38"/>
      <c r="X427" s="38"/>
      <c r="Y427" s="38"/>
      <c r="Z427" s="38"/>
      <c r="AA427" s="38"/>
      <c r="AB427" s="38"/>
      <c r="AC427" s="38"/>
    </row>
    <row r="428" spans="1:29" ht="12.75">
      <c r="A428" s="38"/>
      <c r="B428" s="38"/>
      <c r="C428" s="40"/>
      <c r="D428" s="41"/>
      <c r="E428" s="40"/>
      <c r="F428" s="41"/>
      <c r="G428" s="40"/>
      <c r="H428" s="41"/>
      <c r="I428" s="39"/>
      <c r="J428" s="39"/>
      <c r="K428" s="40"/>
      <c r="L428" s="41"/>
      <c r="M428" s="38"/>
      <c r="N428" s="15"/>
      <c r="O428" s="15"/>
      <c r="P428" s="15"/>
      <c r="Q428" s="15"/>
      <c r="R428" s="16"/>
      <c r="S428" s="38"/>
      <c r="T428" s="38"/>
      <c r="U428" s="38"/>
      <c r="V428" s="38"/>
      <c r="W428" s="38"/>
      <c r="X428" s="38"/>
      <c r="Y428" s="38"/>
      <c r="Z428" s="38"/>
      <c r="AA428" s="38"/>
      <c r="AB428" s="38"/>
      <c r="AC428" s="38"/>
    </row>
    <row r="429" spans="1:29" ht="12.75">
      <c r="A429" s="38"/>
      <c r="B429" s="38"/>
      <c r="C429" s="40"/>
      <c r="D429" s="41"/>
      <c r="E429" s="40"/>
      <c r="F429" s="41"/>
      <c r="G429" s="40"/>
      <c r="H429" s="41"/>
      <c r="I429" s="39"/>
      <c r="J429" s="39"/>
      <c r="K429" s="40"/>
      <c r="L429" s="41"/>
      <c r="M429" s="38"/>
      <c r="N429" s="15"/>
      <c r="O429" s="15"/>
      <c r="P429" s="15"/>
      <c r="Q429" s="15"/>
      <c r="R429" s="16"/>
      <c r="S429" s="38"/>
      <c r="T429" s="38"/>
      <c r="U429" s="38"/>
      <c r="V429" s="38"/>
      <c r="W429" s="38"/>
      <c r="X429" s="38"/>
      <c r="Y429" s="38"/>
      <c r="Z429" s="38"/>
      <c r="AA429" s="38"/>
      <c r="AB429" s="38"/>
      <c r="AC429" s="38"/>
    </row>
    <row r="430" spans="1:29" ht="12.75">
      <c r="A430" s="38"/>
      <c r="B430" s="38"/>
      <c r="C430" s="40"/>
      <c r="D430" s="41"/>
      <c r="E430" s="40"/>
      <c r="F430" s="41"/>
      <c r="G430" s="40"/>
      <c r="H430" s="41"/>
      <c r="I430" s="39"/>
      <c r="J430" s="39"/>
      <c r="K430" s="40"/>
      <c r="L430" s="41"/>
      <c r="M430" s="38"/>
      <c r="N430" s="15"/>
      <c r="O430" s="15"/>
      <c r="P430" s="15"/>
      <c r="Q430" s="15"/>
      <c r="R430" s="16"/>
      <c r="S430" s="38"/>
      <c r="T430" s="38"/>
      <c r="U430" s="38"/>
      <c r="V430" s="38"/>
      <c r="W430" s="38"/>
      <c r="X430" s="38"/>
      <c r="Y430" s="38"/>
      <c r="Z430" s="38"/>
      <c r="AA430" s="38"/>
      <c r="AB430" s="38"/>
      <c r="AC430" s="38"/>
    </row>
    <row r="431" spans="1:29" ht="12.75">
      <c r="A431" s="38"/>
      <c r="B431" s="38"/>
      <c r="C431" s="40"/>
      <c r="D431" s="41"/>
      <c r="E431" s="40"/>
      <c r="F431" s="41"/>
      <c r="G431" s="40"/>
      <c r="H431" s="41"/>
      <c r="I431" s="39"/>
      <c r="J431" s="39"/>
      <c r="K431" s="40"/>
      <c r="L431" s="41"/>
      <c r="M431" s="38"/>
      <c r="N431" s="15"/>
      <c r="O431" s="15"/>
      <c r="P431" s="15"/>
      <c r="Q431" s="15"/>
      <c r="R431" s="16"/>
      <c r="S431" s="38"/>
      <c r="T431" s="38"/>
      <c r="U431" s="38"/>
      <c r="V431" s="38"/>
      <c r="W431" s="38"/>
      <c r="X431" s="38"/>
      <c r="Y431" s="38"/>
      <c r="Z431" s="38"/>
      <c r="AA431" s="38"/>
      <c r="AB431" s="38"/>
      <c r="AC431" s="38"/>
    </row>
    <row r="432" spans="1:29" ht="12.75">
      <c r="A432" s="38"/>
      <c r="B432" s="38"/>
      <c r="C432" s="40"/>
      <c r="D432" s="41"/>
      <c r="E432" s="40"/>
      <c r="F432" s="41"/>
      <c r="G432" s="40"/>
      <c r="H432" s="41"/>
      <c r="I432" s="39"/>
      <c r="J432" s="39"/>
      <c r="K432" s="40"/>
      <c r="L432" s="41"/>
      <c r="M432" s="38"/>
      <c r="N432" s="15"/>
      <c r="O432" s="15"/>
      <c r="P432" s="15"/>
      <c r="Q432" s="15"/>
      <c r="R432" s="16"/>
      <c r="S432" s="38"/>
      <c r="T432" s="38"/>
      <c r="U432" s="38"/>
      <c r="V432" s="38"/>
      <c r="W432" s="38"/>
      <c r="X432" s="38"/>
      <c r="Y432" s="38"/>
      <c r="Z432" s="38"/>
      <c r="AA432" s="38"/>
      <c r="AB432" s="38"/>
      <c r="AC432" s="38"/>
    </row>
    <row r="433" spans="1:29" ht="12.75">
      <c r="A433" s="38"/>
      <c r="B433" s="38"/>
      <c r="C433" s="40"/>
      <c r="D433" s="41"/>
      <c r="E433" s="40"/>
      <c r="F433" s="41"/>
      <c r="G433" s="40"/>
      <c r="H433" s="41"/>
      <c r="I433" s="39"/>
      <c r="J433" s="39"/>
      <c r="K433" s="40"/>
      <c r="L433" s="41"/>
      <c r="M433" s="38"/>
      <c r="N433" s="15"/>
      <c r="O433" s="15"/>
      <c r="P433" s="15"/>
      <c r="Q433" s="15"/>
      <c r="R433" s="16"/>
      <c r="S433" s="38"/>
      <c r="T433" s="38"/>
      <c r="U433" s="38"/>
      <c r="V433" s="38"/>
      <c r="W433" s="38"/>
      <c r="X433" s="38"/>
      <c r="Y433" s="38"/>
      <c r="Z433" s="38"/>
      <c r="AA433" s="38"/>
      <c r="AB433" s="38"/>
      <c r="AC433" s="38"/>
    </row>
    <row r="434" spans="1:29" ht="12.75">
      <c r="A434" s="38"/>
      <c r="B434" s="38"/>
      <c r="C434" s="40"/>
      <c r="D434" s="41"/>
      <c r="E434" s="40"/>
      <c r="F434" s="41"/>
      <c r="G434" s="40"/>
      <c r="H434" s="41"/>
      <c r="I434" s="39"/>
      <c r="J434" s="39"/>
      <c r="K434" s="40"/>
      <c r="L434" s="41"/>
      <c r="M434" s="38"/>
      <c r="N434" s="15"/>
      <c r="O434" s="15"/>
      <c r="P434" s="15"/>
      <c r="Q434" s="15"/>
      <c r="R434" s="16"/>
      <c r="S434" s="38"/>
      <c r="T434" s="38"/>
      <c r="U434" s="38"/>
      <c r="V434" s="38"/>
      <c r="W434" s="38"/>
      <c r="X434" s="38"/>
      <c r="Y434" s="38"/>
      <c r="Z434" s="38"/>
      <c r="AA434" s="38"/>
      <c r="AB434" s="38"/>
      <c r="AC434" s="38"/>
    </row>
    <row r="435" spans="1:29" ht="12.75">
      <c r="A435" s="38"/>
      <c r="B435" s="38"/>
      <c r="C435" s="40"/>
      <c r="D435" s="41"/>
      <c r="E435" s="40"/>
      <c r="F435" s="41"/>
      <c r="G435" s="40"/>
      <c r="H435" s="41"/>
      <c r="I435" s="39"/>
      <c r="J435" s="39"/>
      <c r="K435" s="40"/>
      <c r="L435" s="41"/>
      <c r="M435" s="38"/>
      <c r="N435" s="15"/>
      <c r="O435" s="15"/>
      <c r="P435" s="15"/>
      <c r="Q435" s="15"/>
      <c r="R435" s="16"/>
      <c r="S435" s="38"/>
      <c r="T435" s="38"/>
      <c r="U435" s="38"/>
      <c r="V435" s="38"/>
      <c r="W435" s="38"/>
      <c r="X435" s="38"/>
      <c r="Y435" s="38"/>
      <c r="Z435" s="38"/>
      <c r="AA435" s="38"/>
      <c r="AB435" s="38"/>
      <c r="AC435" s="38"/>
    </row>
    <row r="436" spans="1:29" ht="12.75">
      <c r="A436" s="38"/>
      <c r="B436" s="38"/>
      <c r="C436" s="40"/>
      <c r="D436" s="41"/>
      <c r="E436" s="40"/>
      <c r="F436" s="41"/>
      <c r="G436" s="40"/>
      <c r="H436" s="41"/>
      <c r="I436" s="39"/>
      <c r="J436" s="39"/>
      <c r="K436" s="40"/>
      <c r="L436" s="41"/>
      <c r="M436" s="38"/>
      <c r="N436" s="15"/>
      <c r="O436" s="15"/>
      <c r="P436" s="15"/>
      <c r="Q436" s="15"/>
      <c r="R436" s="16"/>
      <c r="S436" s="38"/>
      <c r="T436" s="38"/>
      <c r="U436" s="38"/>
      <c r="V436" s="38"/>
      <c r="W436" s="38"/>
      <c r="X436" s="38"/>
      <c r="Y436" s="38"/>
      <c r="Z436" s="38"/>
      <c r="AA436" s="38"/>
      <c r="AB436" s="38"/>
      <c r="AC436" s="38"/>
    </row>
    <row r="437" spans="1:29" ht="12.75">
      <c r="A437" s="38"/>
      <c r="B437" s="38"/>
      <c r="C437" s="40"/>
      <c r="D437" s="41"/>
      <c r="E437" s="40"/>
      <c r="F437" s="41"/>
      <c r="G437" s="40"/>
      <c r="H437" s="41"/>
      <c r="I437" s="39"/>
      <c r="J437" s="39"/>
      <c r="K437" s="40"/>
      <c r="L437" s="41"/>
      <c r="M437" s="38"/>
      <c r="N437" s="15"/>
      <c r="O437" s="15"/>
      <c r="P437" s="15"/>
      <c r="Q437" s="15"/>
      <c r="R437" s="16"/>
      <c r="S437" s="38"/>
      <c r="T437" s="38"/>
      <c r="U437" s="38"/>
      <c r="V437" s="38"/>
      <c r="W437" s="38"/>
      <c r="X437" s="38"/>
      <c r="Y437" s="38"/>
      <c r="Z437" s="38"/>
      <c r="AA437" s="38"/>
      <c r="AB437" s="38"/>
      <c r="AC437" s="38"/>
    </row>
    <row r="438" spans="1:29" ht="12.75">
      <c r="A438" s="38"/>
      <c r="B438" s="38"/>
      <c r="C438" s="40"/>
      <c r="D438" s="41"/>
      <c r="E438" s="40"/>
      <c r="F438" s="41"/>
      <c r="G438" s="40"/>
      <c r="H438" s="41"/>
      <c r="I438" s="39"/>
      <c r="J438" s="39"/>
      <c r="K438" s="40"/>
      <c r="L438" s="41"/>
      <c r="M438" s="38"/>
      <c r="N438" s="15"/>
      <c r="O438" s="15"/>
      <c r="P438" s="15"/>
      <c r="Q438" s="15"/>
      <c r="R438" s="16"/>
      <c r="S438" s="38"/>
      <c r="T438" s="38"/>
      <c r="U438" s="38"/>
      <c r="V438" s="38"/>
      <c r="W438" s="38"/>
      <c r="X438" s="38"/>
      <c r="Y438" s="38"/>
      <c r="Z438" s="38"/>
      <c r="AA438" s="38"/>
      <c r="AB438" s="38"/>
      <c r="AC438" s="38"/>
    </row>
    <row r="439" spans="1:29" ht="12.75">
      <c r="A439" s="38"/>
      <c r="B439" s="38"/>
      <c r="C439" s="40"/>
      <c r="D439" s="41"/>
      <c r="E439" s="40"/>
      <c r="F439" s="41"/>
      <c r="G439" s="40"/>
      <c r="H439" s="41"/>
      <c r="I439" s="39"/>
      <c r="J439" s="39"/>
      <c r="K439" s="40"/>
      <c r="L439" s="41"/>
      <c r="M439" s="38"/>
      <c r="N439" s="15"/>
      <c r="O439" s="15"/>
      <c r="P439" s="15"/>
      <c r="Q439" s="15"/>
      <c r="R439" s="16"/>
      <c r="S439" s="38"/>
      <c r="T439" s="38"/>
      <c r="U439" s="38"/>
      <c r="V439" s="38"/>
      <c r="W439" s="38"/>
      <c r="X439" s="38"/>
      <c r="Y439" s="38"/>
      <c r="Z439" s="38"/>
      <c r="AA439" s="38"/>
      <c r="AB439" s="38"/>
      <c r="AC439" s="38"/>
    </row>
    <row r="440" spans="1:29" ht="12.75">
      <c r="A440" s="38"/>
      <c r="B440" s="38"/>
      <c r="C440" s="40"/>
      <c r="D440" s="41"/>
      <c r="E440" s="40"/>
      <c r="F440" s="41"/>
      <c r="G440" s="40"/>
      <c r="H440" s="41"/>
      <c r="I440" s="39"/>
      <c r="J440" s="39"/>
      <c r="K440" s="40"/>
      <c r="L440" s="41"/>
      <c r="M440" s="38"/>
      <c r="N440" s="15"/>
      <c r="O440" s="15"/>
      <c r="P440" s="15"/>
      <c r="Q440" s="15"/>
      <c r="R440" s="16"/>
      <c r="S440" s="38"/>
      <c r="T440" s="38"/>
      <c r="U440" s="38"/>
      <c r="V440" s="38"/>
      <c r="W440" s="38"/>
      <c r="X440" s="38"/>
      <c r="Y440" s="38"/>
      <c r="Z440" s="38"/>
      <c r="AA440" s="38"/>
      <c r="AB440" s="38"/>
      <c r="AC440" s="38"/>
    </row>
    <row r="441" spans="1:29" ht="12.75">
      <c r="A441" s="38"/>
      <c r="B441" s="38"/>
      <c r="C441" s="40"/>
      <c r="D441" s="41"/>
      <c r="E441" s="40"/>
      <c r="F441" s="41"/>
      <c r="G441" s="40"/>
      <c r="H441" s="41"/>
      <c r="I441" s="39"/>
      <c r="J441" s="39"/>
      <c r="K441" s="40"/>
      <c r="L441" s="41"/>
      <c r="M441" s="38"/>
      <c r="N441" s="15"/>
      <c r="O441" s="15"/>
      <c r="P441" s="15"/>
      <c r="Q441" s="15"/>
      <c r="R441" s="16"/>
      <c r="S441" s="38"/>
      <c r="T441" s="38"/>
      <c r="U441" s="38"/>
      <c r="V441" s="38"/>
      <c r="W441" s="38"/>
      <c r="X441" s="38"/>
      <c r="Y441" s="38"/>
      <c r="Z441" s="38"/>
      <c r="AA441" s="38"/>
      <c r="AB441" s="38"/>
      <c r="AC441" s="38"/>
    </row>
    <row r="442" spans="1:29" ht="12.75">
      <c r="A442" s="38"/>
      <c r="B442" s="38"/>
      <c r="C442" s="40"/>
      <c r="D442" s="41"/>
      <c r="E442" s="40"/>
      <c r="F442" s="41"/>
      <c r="G442" s="40"/>
      <c r="H442" s="41"/>
      <c r="I442" s="39"/>
      <c r="J442" s="39"/>
      <c r="K442" s="40"/>
      <c r="L442" s="41"/>
      <c r="M442" s="38"/>
      <c r="N442" s="15"/>
      <c r="O442" s="15"/>
      <c r="P442" s="15"/>
      <c r="Q442" s="15"/>
      <c r="R442" s="16"/>
      <c r="S442" s="38"/>
      <c r="T442" s="38"/>
      <c r="U442" s="38"/>
      <c r="V442" s="38"/>
      <c r="W442" s="38"/>
      <c r="X442" s="38"/>
      <c r="Y442" s="38"/>
      <c r="Z442" s="38"/>
      <c r="AA442" s="38"/>
      <c r="AB442" s="38"/>
      <c r="AC442" s="38"/>
    </row>
    <row r="443" spans="1:29" ht="12.75">
      <c r="A443" s="38"/>
      <c r="B443" s="38"/>
      <c r="C443" s="40"/>
      <c r="D443" s="41"/>
      <c r="E443" s="40"/>
      <c r="F443" s="41"/>
      <c r="G443" s="40"/>
      <c r="H443" s="41"/>
      <c r="I443" s="39"/>
      <c r="J443" s="39"/>
      <c r="K443" s="40"/>
      <c r="L443" s="41"/>
      <c r="M443" s="38"/>
      <c r="N443" s="15"/>
      <c r="O443" s="15"/>
      <c r="P443" s="15"/>
      <c r="Q443" s="15"/>
      <c r="R443" s="16"/>
      <c r="S443" s="38"/>
      <c r="T443" s="38"/>
      <c r="U443" s="38"/>
      <c r="V443" s="38"/>
      <c r="W443" s="38"/>
      <c r="X443" s="38"/>
      <c r="Y443" s="38"/>
      <c r="Z443" s="38"/>
      <c r="AA443" s="38"/>
      <c r="AB443" s="38"/>
      <c r="AC443" s="38"/>
    </row>
    <row r="444" spans="1:29" ht="12.75">
      <c r="A444" s="38"/>
      <c r="B444" s="38"/>
      <c r="C444" s="40"/>
      <c r="D444" s="41"/>
      <c r="E444" s="40"/>
      <c r="F444" s="41"/>
      <c r="G444" s="40"/>
      <c r="H444" s="41"/>
      <c r="I444" s="39"/>
      <c r="J444" s="39"/>
      <c r="K444" s="40"/>
      <c r="L444" s="41"/>
      <c r="M444" s="38"/>
      <c r="N444" s="15"/>
      <c r="O444" s="15"/>
      <c r="P444" s="15"/>
      <c r="Q444" s="15"/>
      <c r="R444" s="16"/>
      <c r="S444" s="38"/>
      <c r="T444" s="38"/>
      <c r="U444" s="38"/>
      <c r="V444" s="38"/>
      <c r="W444" s="38"/>
      <c r="X444" s="38"/>
      <c r="Y444" s="38"/>
      <c r="Z444" s="38"/>
      <c r="AA444" s="38"/>
      <c r="AB444" s="38"/>
      <c r="AC444" s="38"/>
    </row>
    <row r="445" spans="1:29" ht="12.75">
      <c r="A445" s="38"/>
      <c r="B445" s="38"/>
      <c r="C445" s="40"/>
      <c r="D445" s="41"/>
      <c r="E445" s="40"/>
      <c r="F445" s="41"/>
      <c r="G445" s="40"/>
      <c r="H445" s="41"/>
      <c r="I445" s="39"/>
      <c r="J445" s="39"/>
      <c r="K445" s="40"/>
      <c r="L445" s="41"/>
      <c r="M445" s="38"/>
      <c r="N445" s="15"/>
      <c r="O445" s="15"/>
      <c r="P445" s="15"/>
      <c r="Q445" s="15"/>
      <c r="R445" s="16"/>
      <c r="S445" s="38"/>
      <c r="T445" s="38"/>
      <c r="U445" s="38"/>
      <c r="V445" s="38"/>
      <c r="W445" s="38"/>
      <c r="X445" s="38"/>
      <c r="Y445" s="38"/>
      <c r="Z445" s="38"/>
      <c r="AA445" s="38"/>
      <c r="AB445" s="38"/>
      <c r="AC445" s="38"/>
    </row>
    <row r="446" spans="1:29" ht="12.75">
      <c r="A446" s="38"/>
      <c r="B446" s="38"/>
      <c r="C446" s="40"/>
      <c r="D446" s="41"/>
      <c r="E446" s="40"/>
      <c r="F446" s="41"/>
      <c r="G446" s="40"/>
      <c r="H446" s="41"/>
      <c r="I446" s="39"/>
      <c r="J446" s="39"/>
      <c r="K446" s="40"/>
      <c r="L446" s="41"/>
      <c r="M446" s="38"/>
      <c r="N446" s="15"/>
      <c r="O446" s="15"/>
      <c r="P446" s="15"/>
      <c r="Q446" s="15"/>
      <c r="R446" s="16"/>
      <c r="S446" s="38"/>
      <c r="T446" s="38"/>
      <c r="U446" s="38"/>
      <c r="V446" s="38"/>
      <c r="W446" s="38"/>
      <c r="X446" s="38"/>
      <c r="Y446" s="38"/>
      <c r="Z446" s="38"/>
      <c r="AA446" s="38"/>
      <c r="AB446" s="38"/>
      <c r="AC446" s="38"/>
    </row>
    <row r="447" spans="1:29" ht="12.75">
      <c r="A447" s="38"/>
      <c r="B447" s="38"/>
      <c r="C447" s="40"/>
      <c r="D447" s="41"/>
      <c r="E447" s="40"/>
      <c r="F447" s="41"/>
      <c r="G447" s="40"/>
      <c r="H447" s="41"/>
      <c r="I447" s="39"/>
      <c r="J447" s="39"/>
      <c r="K447" s="40"/>
      <c r="L447" s="41"/>
      <c r="M447" s="38"/>
      <c r="N447" s="15"/>
      <c r="O447" s="15"/>
      <c r="P447" s="15"/>
      <c r="Q447" s="15"/>
      <c r="R447" s="16"/>
      <c r="S447" s="38"/>
      <c r="T447" s="38"/>
      <c r="U447" s="38"/>
      <c r="V447" s="38"/>
      <c r="W447" s="38"/>
      <c r="X447" s="38"/>
      <c r="Y447" s="38"/>
      <c r="Z447" s="38"/>
      <c r="AA447" s="38"/>
      <c r="AB447" s="38"/>
      <c r="AC447" s="38"/>
    </row>
    <row r="448" spans="1:29" ht="12.75">
      <c r="A448" s="38"/>
      <c r="B448" s="38"/>
      <c r="C448" s="40"/>
      <c r="D448" s="41"/>
      <c r="E448" s="40"/>
      <c r="F448" s="41"/>
      <c r="G448" s="40"/>
      <c r="H448" s="41"/>
      <c r="I448" s="39"/>
      <c r="J448" s="39"/>
      <c r="K448" s="40"/>
      <c r="L448" s="41"/>
      <c r="M448" s="38"/>
      <c r="N448" s="15"/>
      <c r="O448" s="15"/>
      <c r="P448" s="15"/>
      <c r="Q448" s="15"/>
      <c r="R448" s="16"/>
      <c r="S448" s="38"/>
      <c r="T448" s="38"/>
      <c r="U448" s="38"/>
      <c r="V448" s="38"/>
      <c r="W448" s="38"/>
      <c r="X448" s="38"/>
      <c r="Y448" s="38"/>
      <c r="Z448" s="38"/>
      <c r="AA448" s="38"/>
      <c r="AB448" s="38"/>
      <c r="AC448" s="38"/>
    </row>
    <row r="449" spans="1:29" ht="12.75">
      <c r="A449" s="38"/>
      <c r="B449" s="38"/>
      <c r="C449" s="40"/>
      <c r="D449" s="41"/>
      <c r="E449" s="40"/>
      <c r="F449" s="41"/>
      <c r="G449" s="40"/>
      <c r="H449" s="41"/>
      <c r="I449" s="39"/>
      <c r="J449" s="39"/>
      <c r="K449" s="40"/>
      <c r="L449" s="41"/>
      <c r="M449" s="38"/>
      <c r="N449" s="15"/>
      <c r="O449" s="15"/>
      <c r="P449" s="15"/>
      <c r="Q449" s="15"/>
      <c r="R449" s="16"/>
      <c r="S449" s="38"/>
      <c r="T449" s="38"/>
      <c r="U449" s="38"/>
      <c r="V449" s="38"/>
      <c r="W449" s="38"/>
      <c r="X449" s="38"/>
      <c r="Y449" s="38"/>
      <c r="Z449" s="38"/>
      <c r="AA449" s="38"/>
      <c r="AB449" s="38"/>
      <c r="AC449" s="38"/>
    </row>
    <row r="450" spans="1:29" ht="12.75">
      <c r="A450" s="38"/>
      <c r="B450" s="38"/>
      <c r="C450" s="40"/>
      <c r="D450" s="41"/>
      <c r="E450" s="40"/>
      <c r="F450" s="41"/>
      <c r="G450" s="40"/>
      <c r="H450" s="41"/>
      <c r="I450" s="39"/>
      <c r="J450" s="39"/>
      <c r="K450" s="40"/>
      <c r="L450" s="41"/>
      <c r="M450" s="38"/>
      <c r="N450" s="15"/>
      <c r="O450" s="15"/>
      <c r="P450" s="15"/>
      <c r="Q450" s="15"/>
      <c r="R450" s="16"/>
      <c r="S450" s="38"/>
      <c r="T450" s="38"/>
      <c r="U450" s="38"/>
      <c r="V450" s="38"/>
      <c r="W450" s="38"/>
      <c r="X450" s="38"/>
      <c r="Y450" s="38"/>
      <c r="Z450" s="38"/>
      <c r="AA450" s="38"/>
      <c r="AB450" s="38"/>
      <c r="AC450" s="38"/>
    </row>
    <row r="451" spans="1:29" ht="12.75">
      <c r="A451" s="38"/>
      <c r="B451" s="38"/>
      <c r="C451" s="40"/>
      <c r="D451" s="41"/>
      <c r="E451" s="40"/>
      <c r="F451" s="41"/>
      <c r="G451" s="40"/>
      <c r="H451" s="41"/>
      <c r="I451" s="39"/>
      <c r="J451" s="39"/>
      <c r="K451" s="40"/>
      <c r="L451" s="41"/>
      <c r="M451" s="38"/>
      <c r="N451" s="15"/>
      <c r="O451" s="15"/>
      <c r="P451" s="15"/>
      <c r="Q451" s="15"/>
      <c r="R451" s="16"/>
      <c r="S451" s="38"/>
      <c r="T451" s="38"/>
      <c r="U451" s="38"/>
      <c r="V451" s="38"/>
      <c r="W451" s="38"/>
      <c r="X451" s="38"/>
      <c r="Y451" s="38"/>
      <c r="Z451" s="38"/>
      <c r="AA451" s="38"/>
      <c r="AB451" s="38"/>
      <c r="AC451" s="38"/>
    </row>
    <row r="452" spans="1:29" ht="12.75">
      <c r="A452" s="38"/>
      <c r="B452" s="38"/>
      <c r="C452" s="40"/>
      <c r="D452" s="41"/>
      <c r="E452" s="40"/>
      <c r="F452" s="41"/>
      <c r="G452" s="40"/>
      <c r="H452" s="41"/>
      <c r="I452" s="39"/>
      <c r="J452" s="39"/>
      <c r="K452" s="40"/>
      <c r="L452" s="41"/>
      <c r="M452" s="38"/>
      <c r="N452" s="15"/>
      <c r="O452" s="15"/>
      <c r="P452" s="15"/>
      <c r="Q452" s="15"/>
      <c r="R452" s="16"/>
      <c r="S452" s="38"/>
      <c r="T452" s="38"/>
      <c r="U452" s="38"/>
      <c r="V452" s="38"/>
      <c r="W452" s="38"/>
      <c r="X452" s="38"/>
      <c r="Y452" s="38"/>
      <c r="Z452" s="38"/>
      <c r="AA452" s="38"/>
      <c r="AB452" s="38"/>
      <c r="AC452" s="38"/>
    </row>
    <row r="453" spans="1:29" ht="12.75">
      <c r="A453" s="38"/>
      <c r="B453" s="38"/>
      <c r="C453" s="40"/>
      <c r="D453" s="41"/>
      <c r="E453" s="40"/>
      <c r="F453" s="41"/>
      <c r="G453" s="40"/>
      <c r="H453" s="41"/>
      <c r="I453" s="39"/>
      <c r="J453" s="39"/>
      <c r="K453" s="40"/>
      <c r="L453" s="41"/>
      <c r="M453" s="38"/>
      <c r="N453" s="15"/>
      <c r="O453" s="15"/>
      <c r="P453" s="15"/>
      <c r="Q453" s="15"/>
      <c r="R453" s="16"/>
      <c r="S453" s="38"/>
      <c r="T453" s="38"/>
      <c r="U453" s="38"/>
      <c r="V453" s="38"/>
      <c r="W453" s="38"/>
      <c r="X453" s="38"/>
      <c r="Y453" s="38"/>
      <c r="Z453" s="38"/>
      <c r="AA453" s="38"/>
      <c r="AB453" s="38"/>
      <c r="AC453" s="38"/>
    </row>
    <row r="454" spans="1:29" ht="12.75">
      <c r="A454" s="38"/>
      <c r="B454" s="38"/>
      <c r="C454" s="40"/>
      <c r="D454" s="41"/>
      <c r="E454" s="40"/>
      <c r="F454" s="41"/>
      <c r="G454" s="40"/>
      <c r="H454" s="41"/>
      <c r="I454" s="39"/>
      <c r="J454" s="39"/>
      <c r="K454" s="40"/>
      <c r="L454" s="41"/>
      <c r="M454" s="38"/>
      <c r="N454" s="15"/>
      <c r="O454" s="15"/>
      <c r="P454" s="15"/>
      <c r="Q454" s="15"/>
      <c r="R454" s="16"/>
      <c r="S454" s="38"/>
      <c r="T454" s="38"/>
      <c r="U454" s="38"/>
      <c r="V454" s="38"/>
      <c r="W454" s="38"/>
      <c r="X454" s="38"/>
      <c r="Y454" s="38"/>
      <c r="Z454" s="38"/>
      <c r="AA454" s="38"/>
      <c r="AB454" s="38"/>
      <c r="AC454" s="38"/>
    </row>
    <row r="455" spans="1:29" ht="12.75">
      <c r="A455" s="38"/>
      <c r="B455" s="38"/>
      <c r="C455" s="40"/>
      <c r="D455" s="41"/>
      <c r="E455" s="40"/>
      <c r="F455" s="41"/>
      <c r="G455" s="40"/>
      <c r="H455" s="41"/>
      <c r="I455" s="39"/>
      <c r="J455" s="39"/>
      <c r="K455" s="40"/>
      <c r="L455" s="41"/>
      <c r="M455" s="38"/>
      <c r="N455" s="15"/>
      <c r="O455" s="15"/>
      <c r="P455" s="15"/>
      <c r="Q455" s="15"/>
      <c r="R455" s="16"/>
      <c r="S455" s="38"/>
      <c r="T455" s="38"/>
      <c r="U455" s="38"/>
      <c r="V455" s="38"/>
      <c r="W455" s="38"/>
      <c r="X455" s="38"/>
      <c r="Y455" s="38"/>
      <c r="Z455" s="38"/>
      <c r="AA455" s="38"/>
      <c r="AB455" s="38"/>
      <c r="AC455" s="38"/>
    </row>
    <row r="456" spans="1:29" ht="12.75">
      <c r="A456" s="38"/>
      <c r="B456" s="38"/>
      <c r="C456" s="40"/>
      <c r="D456" s="41"/>
      <c r="E456" s="40"/>
      <c r="F456" s="41"/>
      <c r="G456" s="40"/>
      <c r="H456" s="41"/>
      <c r="I456" s="39"/>
      <c r="J456" s="39"/>
      <c r="K456" s="40"/>
      <c r="L456" s="41"/>
      <c r="M456" s="38"/>
      <c r="N456" s="15"/>
      <c r="O456" s="15"/>
      <c r="P456" s="15"/>
      <c r="Q456" s="15"/>
      <c r="R456" s="16"/>
      <c r="S456" s="38"/>
      <c r="T456" s="38"/>
      <c r="U456" s="38"/>
      <c r="V456" s="38"/>
      <c r="W456" s="38"/>
      <c r="X456" s="38"/>
      <c r="Y456" s="38"/>
      <c r="Z456" s="38"/>
      <c r="AA456" s="38"/>
      <c r="AB456" s="38"/>
      <c r="AC456" s="38"/>
    </row>
    <row r="457" spans="1:29" ht="12.75">
      <c r="A457" s="38"/>
      <c r="B457" s="38"/>
      <c r="C457" s="40"/>
      <c r="D457" s="41"/>
      <c r="E457" s="40"/>
      <c r="F457" s="41"/>
      <c r="G457" s="40"/>
      <c r="H457" s="41"/>
      <c r="I457" s="39"/>
      <c r="J457" s="39"/>
      <c r="K457" s="40"/>
      <c r="L457" s="41"/>
      <c r="M457" s="38"/>
      <c r="N457" s="15"/>
      <c r="O457" s="15"/>
      <c r="P457" s="15"/>
      <c r="Q457" s="15"/>
      <c r="R457" s="16"/>
      <c r="S457" s="38"/>
      <c r="T457" s="38"/>
      <c r="U457" s="38"/>
      <c r="V457" s="38"/>
      <c r="W457" s="38"/>
      <c r="X457" s="38"/>
      <c r="Y457" s="38"/>
      <c r="Z457" s="38"/>
      <c r="AA457" s="38"/>
      <c r="AB457" s="38"/>
      <c r="AC457" s="38"/>
    </row>
    <row r="458" spans="1:29" ht="12.75">
      <c r="A458" s="38"/>
      <c r="B458" s="38"/>
      <c r="C458" s="40"/>
      <c r="D458" s="41"/>
      <c r="E458" s="40"/>
      <c r="F458" s="41"/>
      <c r="G458" s="40"/>
      <c r="H458" s="41"/>
      <c r="I458" s="39"/>
      <c r="J458" s="39"/>
      <c r="K458" s="40"/>
      <c r="L458" s="41"/>
      <c r="M458" s="38"/>
      <c r="N458" s="15"/>
      <c r="O458" s="15"/>
      <c r="P458" s="15"/>
      <c r="Q458" s="15"/>
      <c r="R458" s="16"/>
      <c r="S458" s="38"/>
      <c r="T458" s="38"/>
      <c r="U458" s="38"/>
      <c r="V458" s="38"/>
      <c r="W458" s="38"/>
      <c r="X458" s="38"/>
      <c r="Y458" s="38"/>
      <c r="Z458" s="38"/>
      <c r="AA458" s="38"/>
      <c r="AB458" s="38"/>
      <c r="AC458" s="38"/>
    </row>
    <row r="459" spans="1:29" ht="12.75">
      <c r="A459" s="38"/>
      <c r="B459" s="38"/>
      <c r="C459" s="40"/>
      <c r="D459" s="41"/>
      <c r="E459" s="40"/>
      <c r="F459" s="41"/>
      <c r="G459" s="40"/>
      <c r="H459" s="41"/>
      <c r="I459" s="39"/>
      <c r="J459" s="39"/>
      <c r="K459" s="40"/>
      <c r="L459" s="41"/>
      <c r="M459" s="38"/>
      <c r="N459" s="15"/>
      <c r="O459" s="15"/>
      <c r="P459" s="15"/>
      <c r="Q459" s="15"/>
      <c r="R459" s="16"/>
      <c r="S459" s="38"/>
      <c r="T459" s="38"/>
      <c r="U459" s="38"/>
      <c r="V459" s="38"/>
      <c r="W459" s="38"/>
      <c r="X459" s="38"/>
      <c r="Y459" s="38"/>
      <c r="Z459" s="38"/>
      <c r="AA459" s="38"/>
      <c r="AB459" s="38"/>
      <c r="AC459" s="38"/>
    </row>
    <row r="460" spans="1:29" ht="12.75">
      <c r="A460" s="38"/>
      <c r="B460" s="38"/>
      <c r="C460" s="40"/>
      <c r="D460" s="41"/>
      <c r="E460" s="40"/>
      <c r="F460" s="41"/>
      <c r="G460" s="40"/>
      <c r="H460" s="41"/>
      <c r="I460" s="39"/>
      <c r="J460" s="39"/>
      <c r="K460" s="40"/>
      <c r="L460" s="41"/>
      <c r="M460" s="38"/>
      <c r="N460" s="15"/>
      <c r="O460" s="15"/>
      <c r="P460" s="15"/>
      <c r="Q460" s="15"/>
      <c r="R460" s="16"/>
      <c r="S460" s="38"/>
      <c r="T460" s="38"/>
      <c r="U460" s="38"/>
      <c r="V460" s="38"/>
      <c r="W460" s="38"/>
      <c r="X460" s="38"/>
      <c r="Y460" s="38"/>
      <c r="Z460" s="38"/>
      <c r="AA460" s="38"/>
      <c r="AB460" s="38"/>
      <c r="AC460" s="38"/>
    </row>
    <row r="461" spans="1:29" ht="12.75">
      <c r="A461" s="38"/>
      <c r="B461" s="38"/>
      <c r="C461" s="40"/>
      <c r="D461" s="41"/>
      <c r="E461" s="40"/>
      <c r="F461" s="41"/>
      <c r="G461" s="40"/>
      <c r="H461" s="41"/>
      <c r="I461" s="39"/>
      <c r="J461" s="39"/>
      <c r="K461" s="40"/>
      <c r="L461" s="41"/>
      <c r="M461" s="38"/>
      <c r="N461" s="15"/>
      <c r="O461" s="15"/>
      <c r="P461" s="15"/>
      <c r="Q461" s="15"/>
      <c r="R461" s="16"/>
      <c r="S461" s="38"/>
      <c r="T461" s="38"/>
      <c r="U461" s="38"/>
      <c r="V461" s="38"/>
      <c r="W461" s="38"/>
      <c r="X461" s="38"/>
      <c r="Y461" s="38"/>
      <c r="Z461" s="38"/>
      <c r="AA461" s="38"/>
      <c r="AB461" s="38"/>
      <c r="AC461" s="38"/>
    </row>
    <row r="462" spans="1:29" ht="12.75">
      <c r="A462" s="38"/>
      <c r="B462" s="38"/>
      <c r="C462" s="40"/>
      <c r="D462" s="41"/>
      <c r="E462" s="40"/>
      <c r="F462" s="41"/>
      <c r="G462" s="40"/>
      <c r="H462" s="41"/>
      <c r="I462" s="39"/>
      <c r="J462" s="39"/>
      <c r="K462" s="40"/>
      <c r="L462" s="41"/>
      <c r="M462" s="38"/>
      <c r="N462" s="15"/>
      <c r="O462" s="15"/>
      <c r="P462" s="15"/>
      <c r="Q462" s="15"/>
      <c r="R462" s="16"/>
      <c r="S462" s="38"/>
      <c r="T462" s="38"/>
      <c r="U462" s="38"/>
      <c r="V462" s="38"/>
      <c r="W462" s="38"/>
      <c r="X462" s="38"/>
      <c r="Y462" s="38"/>
      <c r="Z462" s="38"/>
      <c r="AA462" s="38"/>
      <c r="AB462" s="38"/>
      <c r="AC462" s="38"/>
    </row>
    <row r="463" spans="1:29" ht="12.75">
      <c r="A463" s="38"/>
      <c r="B463" s="38"/>
      <c r="C463" s="40"/>
      <c r="D463" s="41"/>
      <c r="E463" s="40"/>
      <c r="F463" s="41"/>
      <c r="G463" s="40"/>
      <c r="H463" s="41"/>
      <c r="I463" s="39"/>
      <c r="J463" s="39"/>
      <c r="K463" s="40"/>
      <c r="L463" s="41"/>
      <c r="M463" s="38"/>
      <c r="N463" s="15"/>
      <c r="O463" s="15"/>
      <c r="P463" s="15"/>
      <c r="Q463" s="15"/>
      <c r="R463" s="16"/>
      <c r="S463" s="38"/>
      <c r="T463" s="38"/>
      <c r="U463" s="38"/>
      <c r="V463" s="38"/>
      <c r="W463" s="38"/>
      <c r="X463" s="38"/>
      <c r="Y463" s="38"/>
      <c r="Z463" s="38"/>
      <c r="AA463" s="38"/>
      <c r="AB463" s="38"/>
      <c r="AC463" s="38"/>
    </row>
    <row r="464" spans="1:29" ht="12.75">
      <c r="A464" s="38"/>
      <c r="B464" s="38"/>
      <c r="C464" s="40"/>
      <c r="D464" s="41"/>
      <c r="E464" s="40"/>
      <c r="F464" s="41"/>
      <c r="G464" s="40"/>
      <c r="H464" s="41"/>
      <c r="I464" s="39"/>
      <c r="J464" s="39"/>
      <c r="K464" s="40"/>
      <c r="L464" s="41"/>
      <c r="M464" s="38"/>
      <c r="N464" s="15"/>
      <c r="O464" s="15"/>
      <c r="P464" s="15"/>
      <c r="Q464" s="15"/>
      <c r="R464" s="16"/>
      <c r="S464" s="38"/>
      <c r="T464" s="38"/>
      <c r="U464" s="38"/>
      <c r="V464" s="38"/>
      <c r="W464" s="38"/>
      <c r="X464" s="38"/>
      <c r="Y464" s="38"/>
      <c r="Z464" s="38"/>
      <c r="AA464" s="38"/>
      <c r="AB464" s="38"/>
      <c r="AC464" s="38"/>
    </row>
    <row r="465" spans="1:29" ht="12.75">
      <c r="A465" s="38"/>
      <c r="B465" s="38"/>
      <c r="C465" s="40"/>
      <c r="D465" s="41"/>
      <c r="E465" s="40"/>
      <c r="F465" s="41"/>
      <c r="G465" s="40"/>
      <c r="H465" s="41"/>
      <c r="I465" s="39"/>
      <c r="J465" s="39"/>
      <c r="K465" s="40"/>
      <c r="L465" s="41"/>
      <c r="M465" s="38"/>
      <c r="N465" s="15"/>
      <c r="O465" s="15"/>
      <c r="P465" s="15"/>
      <c r="Q465" s="15"/>
      <c r="R465" s="16"/>
      <c r="S465" s="38"/>
      <c r="T465" s="38"/>
      <c r="U465" s="38"/>
      <c r="V465" s="38"/>
      <c r="W465" s="38"/>
      <c r="X465" s="38"/>
      <c r="Y465" s="38"/>
      <c r="Z465" s="38"/>
      <c r="AA465" s="38"/>
      <c r="AB465" s="38"/>
      <c r="AC465" s="38"/>
    </row>
    <row r="466" spans="1:29" ht="12.75">
      <c r="A466" s="38"/>
      <c r="B466" s="38"/>
      <c r="C466" s="40"/>
      <c r="D466" s="41"/>
      <c r="E466" s="40"/>
      <c r="F466" s="41"/>
      <c r="G466" s="40"/>
      <c r="H466" s="41"/>
      <c r="I466" s="39"/>
      <c r="J466" s="39"/>
      <c r="K466" s="40"/>
      <c r="L466" s="41"/>
      <c r="M466" s="38"/>
      <c r="N466" s="15"/>
      <c r="O466" s="15"/>
      <c r="P466" s="15"/>
      <c r="Q466" s="15"/>
      <c r="R466" s="16"/>
      <c r="S466" s="38"/>
      <c r="T466" s="38"/>
      <c r="U466" s="38"/>
      <c r="V466" s="38"/>
      <c r="W466" s="38"/>
      <c r="X466" s="38"/>
      <c r="Y466" s="38"/>
      <c r="Z466" s="38"/>
      <c r="AA466" s="38"/>
      <c r="AB466" s="38"/>
      <c r="AC466" s="38"/>
    </row>
    <row r="467" spans="1:29" ht="12.75">
      <c r="A467" s="38"/>
      <c r="B467" s="38"/>
      <c r="C467" s="40"/>
      <c r="D467" s="41"/>
      <c r="E467" s="40"/>
      <c r="F467" s="41"/>
      <c r="G467" s="40"/>
      <c r="H467" s="41"/>
      <c r="I467" s="39"/>
      <c r="J467" s="39"/>
      <c r="K467" s="40"/>
      <c r="L467" s="41"/>
      <c r="M467" s="38"/>
      <c r="N467" s="15"/>
      <c r="O467" s="15"/>
      <c r="P467" s="15"/>
      <c r="Q467" s="15"/>
      <c r="R467" s="16"/>
      <c r="S467" s="38"/>
      <c r="T467" s="38"/>
      <c r="U467" s="38"/>
      <c r="V467" s="38"/>
      <c r="W467" s="38"/>
      <c r="X467" s="38"/>
      <c r="Y467" s="38"/>
      <c r="Z467" s="38"/>
      <c r="AA467" s="38"/>
      <c r="AB467" s="38"/>
      <c r="AC467" s="38"/>
    </row>
    <row r="468" spans="1:29" ht="12.75">
      <c r="A468" s="38"/>
      <c r="B468" s="38"/>
      <c r="C468" s="40"/>
      <c r="D468" s="41"/>
      <c r="E468" s="40"/>
      <c r="F468" s="41"/>
      <c r="G468" s="40"/>
      <c r="H468" s="41"/>
      <c r="I468" s="39"/>
      <c r="J468" s="39"/>
      <c r="K468" s="40"/>
      <c r="L468" s="41"/>
      <c r="M468" s="38"/>
      <c r="N468" s="15"/>
      <c r="O468" s="15"/>
      <c r="P468" s="15"/>
      <c r="Q468" s="15"/>
      <c r="R468" s="16"/>
      <c r="S468" s="38"/>
      <c r="T468" s="38"/>
      <c r="U468" s="38"/>
      <c r="V468" s="38"/>
      <c r="W468" s="38"/>
      <c r="X468" s="38"/>
      <c r="Y468" s="38"/>
      <c r="Z468" s="38"/>
      <c r="AA468" s="38"/>
      <c r="AB468" s="38"/>
      <c r="AC468" s="38"/>
    </row>
    <row r="469" spans="1:29" ht="12.75">
      <c r="A469" s="38"/>
      <c r="B469" s="38"/>
      <c r="C469" s="40"/>
      <c r="D469" s="41"/>
      <c r="E469" s="40"/>
      <c r="F469" s="41"/>
      <c r="G469" s="40"/>
      <c r="H469" s="41"/>
      <c r="I469" s="39"/>
      <c r="J469" s="39"/>
      <c r="K469" s="40"/>
      <c r="L469" s="41"/>
      <c r="M469" s="38"/>
      <c r="N469" s="15"/>
      <c r="O469" s="15"/>
      <c r="P469" s="15"/>
      <c r="Q469" s="15"/>
      <c r="R469" s="16"/>
      <c r="S469" s="38"/>
      <c r="T469" s="38"/>
      <c r="U469" s="38"/>
      <c r="V469" s="38"/>
      <c r="W469" s="38"/>
      <c r="X469" s="38"/>
      <c r="Y469" s="38"/>
      <c r="Z469" s="38"/>
      <c r="AA469" s="38"/>
      <c r="AB469" s="38"/>
      <c r="AC469" s="38"/>
    </row>
    <row r="470" spans="1:29" ht="12.75">
      <c r="A470" s="38"/>
      <c r="B470" s="38"/>
      <c r="C470" s="40"/>
      <c r="D470" s="41"/>
      <c r="E470" s="40"/>
      <c r="F470" s="41"/>
      <c r="G470" s="40"/>
      <c r="H470" s="41"/>
      <c r="I470" s="39"/>
      <c r="J470" s="39"/>
      <c r="K470" s="40"/>
      <c r="L470" s="41"/>
      <c r="M470" s="38"/>
      <c r="N470" s="15"/>
      <c r="O470" s="15"/>
      <c r="P470" s="15"/>
      <c r="Q470" s="15"/>
      <c r="R470" s="16"/>
      <c r="S470" s="38"/>
      <c r="T470" s="38"/>
      <c r="U470" s="38"/>
      <c r="V470" s="38"/>
      <c r="W470" s="38"/>
      <c r="X470" s="38"/>
      <c r="Y470" s="38"/>
      <c r="Z470" s="38"/>
      <c r="AA470" s="38"/>
      <c r="AB470" s="38"/>
      <c r="AC470" s="38"/>
    </row>
    <row r="471" spans="1:29" ht="12.75">
      <c r="A471" s="38"/>
      <c r="B471" s="38"/>
      <c r="C471" s="40"/>
      <c r="D471" s="41"/>
      <c r="E471" s="40"/>
      <c r="F471" s="41"/>
      <c r="G471" s="40"/>
      <c r="H471" s="41"/>
      <c r="I471" s="39"/>
      <c r="J471" s="39"/>
      <c r="K471" s="40"/>
      <c r="L471" s="41"/>
      <c r="M471" s="38"/>
      <c r="N471" s="15"/>
      <c r="O471" s="15"/>
      <c r="P471" s="15"/>
      <c r="Q471" s="15"/>
      <c r="R471" s="16"/>
      <c r="S471" s="38"/>
      <c r="T471" s="38"/>
      <c r="U471" s="38"/>
      <c r="V471" s="38"/>
      <c r="W471" s="38"/>
      <c r="X471" s="38"/>
      <c r="Y471" s="38"/>
      <c r="Z471" s="38"/>
      <c r="AA471" s="38"/>
      <c r="AB471" s="38"/>
      <c r="AC471" s="38"/>
    </row>
    <row r="472" spans="1:29" ht="12.75">
      <c r="A472" s="38"/>
      <c r="B472" s="38"/>
      <c r="C472" s="40"/>
      <c r="D472" s="41"/>
      <c r="E472" s="40"/>
      <c r="F472" s="41"/>
      <c r="G472" s="40"/>
      <c r="H472" s="41"/>
      <c r="I472" s="39"/>
      <c r="J472" s="39"/>
      <c r="K472" s="40"/>
      <c r="L472" s="41"/>
      <c r="M472" s="38"/>
      <c r="N472" s="15"/>
      <c r="O472" s="15"/>
      <c r="P472" s="15"/>
      <c r="Q472" s="15"/>
      <c r="R472" s="16"/>
      <c r="S472" s="38"/>
      <c r="T472" s="38"/>
      <c r="U472" s="38"/>
      <c r="V472" s="38"/>
      <c r="W472" s="38"/>
      <c r="X472" s="38"/>
      <c r="Y472" s="38"/>
      <c r="Z472" s="38"/>
      <c r="AA472" s="38"/>
      <c r="AB472" s="38"/>
      <c r="AC472" s="38"/>
    </row>
    <row r="473" spans="1:29" ht="12.75">
      <c r="A473" s="38"/>
      <c r="B473" s="38"/>
      <c r="C473" s="40"/>
      <c r="D473" s="41"/>
      <c r="E473" s="40"/>
      <c r="F473" s="41"/>
      <c r="G473" s="40"/>
      <c r="H473" s="41"/>
      <c r="I473" s="39"/>
      <c r="J473" s="39"/>
      <c r="K473" s="40"/>
      <c r="L473" s="41"/>
      <c r="M473" s="38"/>
      <c r="N473" s="15"/>
      <c r="O473" s="15"/>
      <c r="P473" s="15"/>
      <c r="Q473" s="15"/>
      <c r="R473" s="16"/>
      <c r="S473" s="38"/>
      <c r="T473" s="38"/>
      <c r="U473" s="38"/>
      <c r="V473" s="38"/>
      <c r="W473" s="38"/>
      <c r="X473" s="38"/>
      <c r="Y473" s="38"/>
      <c r="Z473" s="38"/>
      <c r="AA473" s="38"/>
      <c r="AB473" s="38"/>
      <c r="AC473" s="38"/>
    </row>
    <row r="474" spans="1:29" ht="12.75">
      <c r="A474" s="38"/>
      <c r="B474" s="38"/>
      <c r="C474" s="40"/>
      <c r="D474" s="41"/>
      <c r="E474" s="40"/>
      <c r="F474" s="41"/>
      <c r="G474" s="40"/>
      <c r="H474" s="41"/>
      <c r="I474" s="39"/>
      <c r="J474" s="39"/>
      <c r="K474" s="40"/>
      <c r="L474" s="41"/>
      <c r="M474" s="38"/>
      <c r="N474" s="15"/>
      <c r="O474" s="15"/>
      <c r="P474" s="15"/>
      <c r="Q474" s="15"/>
      <c r="R474" s="16"/>
      <c r="S474" s="38"/>
      <c r="T474" s="38"/>
      <c r="U474" s="38"/>
      <c r="V474" s="38"/>
      <c r="W474" s="38"/>
      <c r="X474" s="38"/>
      <c r="Y474" s="38"/>
      <c r="Z474" s="38"/>
      <c r="AA474" s="38"/>
      <c r="AB474" s="38"/>
      <c r="AC474" s="38"/>
    </row>
    <row r="475" spans="1:29" ht="12.75">
      <c r="A475" s="38"/>
      <c r="B475" s="38"/>
      <c r="C475" s="40"/>
      <c r="D475" s="41"/>
      <c r="E475" s="40"/>
      <c r="F475" s="41"/>
      <c r="G475" s="40"/>
      <c r="H475" s="41"/>
      <c r="I475" s="39"/>
      <c r="J475" s="39"/>
      <c r="K475" s="40"/>
      <c r="L475" s="41"/>
      <c r="M475" s="38"/>
      <c r="N475" s="15"/>
      <c r="O475" s="15"/>
      <c r="P475" s="15"/>
      <c r="Q475" s="15"/>
      <c r="R475" s="16"/>
      <c r="S475" s="38"/>
      <c r="T475" s="38"/>
      <c r="U475" s="38"/>
      <c r="V475" s="38"/>
      <c r="W475" s="38"/>
      <c r="X475" s="38"/>
      <c r="Y475" s="38"/>
      <c r="Z475" s="38"/>
      <c r="AA475" s="38"/>
      <c r="AB475" s="38"/>
      <c r="AC475" s="38"/>
    </row>
    <row r="476" spans="1:29" ht="12.75">
      <c r="A476" s="38"/>
      <c r="B476" s="38"/>
      <c r="C476" s="40"/>
      <c r="D476" s="41"/>
      <c r="E476" s="40"/>
      <c r="F476" s="41"/>
      <c r="G476" s="40"/>
      <c r="H476" s="41"/>
      <c r="I476" s="39"/>
      <c r="J476" s="39"/>
      <c r="K476" s="40"/>
      <c r="L476" s="41"/>
      <c r="M476" s="38"/>
      <c r="N476" s="15"/>
      <c r="O476" s="15"/>
      <c r="P476" s="15"/>
      <c r="Q476" s="15"/>
      <c r="R476" s="16"/>
      <c r="S476" s="38"/>
      <c r="T476" s="38"/>
      <c r="U476" s="38"/>
      <c r="V476" s="38"/>
      <c r="W476" s="38"/>
      <c r="X476" s="38"/>
      <c r="Y476" s="38"/>
      <c r="Z476" s="38"/>
      <c r="AA476" s="38"/>
      <c r="AB476" s="38"/>
      <c r="AC476" s="38"/>
    </row>
    <row r="477" spans="1:29" ht="12.75">
      <c r="A477" s="38"/>
      <c r="B477" s="38"/>
      <c r="C477" s="40"/>
      <c r="D477" s="41"/>
      <c r="E477" s="40"/>
      <c r="F477" s="41"/>
      <c r="G477" s="40"/>
      <c r="H477" s="41"/>
      <c r="I477" s="39"/>
      <c r="J477" s="39"/>
      <c r="K477" s="40"/>
      <c r="L477" s="41"/>
      <c r="M477" s="38"/>
      <c r="N477" s="15"/>
      <c r="O477" s="15"/>
      <c r="P477" s="15"/>
      <c r="Q477" s="15"/>
      <c r="R477" s="16"/>
      <c r="S477" s="38"/>
      <c r="T477" s="38"/>
      <c r="U477" s="38"/>
      <c r="V477" s="38"/>
      <c r="W477" s="38"/>
      <c r="X477" s="38"/>
      <c r="Y477" s="38"/>
      <c r="Z477" s="38"/>
      <c r="AA477" s="38"/>
      <c r="AB477" s="38"/>
      <c r="AC477" s="38"/>
    </row>
    <row r="478" spans="1:29" ht="12.75">
      <c r="A478" s="38"/>
      <c r="B478" s="38"/>
      <c r="C478" s="40"/>
      <c r="D478" s="41"/>
      <c r="E478" s="40"/>
      <c r="F478" s="41"/>
      <c r="G478" s="40"/>
      <c r="H478" s="41"/>
      <c r="I478" s="39"/>
      <c r="J478" s="39"/>
      <c r="K478" s="40"/>
      <c r="L478" s="41"/>
      <c r="M478" s="38"/>
      <c r="N478" s="15"/>
      <c r="O478" s="15"/>
      <c r="P478" s="15"/>
      <c r="Q478" s="15"/>
      <c r="R478" s="16"/>
      <c r="S478" s="38"/>
      <c r="T478" s="38"/>
      <c r="U478" s="38"/>
      <c r="V478" s="38"/>
      <c r="W478" s="38"/>
      <c r="X478" s="38"/>
      <c r="Y478" s="38"/>
      <c r="Z478" s="38"/>
      <c r="AA478" s="38"/>
      <c r="AB478" s="38"/>
      <c r="AC478" s="38"/>
    </row>
    <row r="479" spans="1:29" ht="12.75">
      <c r="A479" s="38"/>
      <c r="B479" s="38"/>
      <c r="C479" s="40"/>
      <c r="D479" s="41"/>
      <c r="E479" s="40"/>
      <c r="F479" s="41"/>
      <c r="G479" s="40"/>
      <c r="H479" s="41"/>
      <c r="I479" s="39"/>
      <c r="J479" s="39"/>
      <c r="K479" s="40"/>
      <c r="L479" s="41"/>
      <c r="M479" s="38"/>
      <c r="N479" s="15"/>
      <c r="O479" s="15"/>
      <c r="P479" s="15"/>
      <c r="Q479" s="15"/>
      <c r="R479" s="16"/>
      <c r="S479" s="38"/>
      <c r="T479" s="38"/>
      <c r="U479" s="38"/>
      <c r="V479" s="38"/>
      <c r="W479" s="38"/>
      <c r="X479" s="38"/>
      <c r="Y479" s="38"/>
      <c r="Z479" s="38"/>
      <c r="AA479" s="38"/>
      <c r="AB479" s="38"/>
      <c r="AC479" s="38"/>
    </row>
    <row r="480" spans="1:29" ht="12.75">
      <c r="A480" s="38"/>
      <c r="B480" s="38"/>
      <c r="C480" s="40"/>
      <c r="D480" s="41"/>
      <c r="E480" s="40"/>
      <c r="F480" s="41"/>
      <c r="G480" s="40"/>
      <c r="H480" s="41"/>
      <c r="I480" s="39"/>
      <c r="J480" s="39"/>
      <c r="K480" s="40"/>
      <c r="L480" s="41"/>
      <c r="M480" s="38"/>
      <c r="N480" s="15"/>
      <c r="O480" s="15"/>
      <c r="P480" s="15"/>
      <c r="Q480" s="15"/>
      <c r="R480" s="16"/>
      <c r="S480" s="38"/>
      <c r="T480" s="38"/>
      <c r="U480" s="38"/>
      <c r="V480" s="38"/>
      <c r="W480" s="38"/>
      <c r="X480" s="38"/>
      <c r="Y480" s="38"/>
      <c r="Z480" s="38"/>
      <c r="AA480" s="38"/>
      <c r="AB480" s="38"/>
      <c r="AC480" s="38"/>
    </row>
    <row r="481" spans="1:29" ht="12.75">
      <c r="A481" s="38"/>
      <c r="B481" s="38"/>
      <c r="C481" s="40"/>
      <c r="D481" s="41"/>
      <c r="E481" s="40"/>
      <c r="F481" s="41"/>
      <c r="G481" s="40"/>
      <c r="H481" s="41"/>
      <c r="I481" s="39"/>
      <c r="J481" s="39"/>
      <c r="K481" s="40"/>
      <c r="L481" s="41"/>
      <c r="M481" s="38"/>
      <c r="N481" s="15"/>
      <c r="O481" s="15"/>
      <c r="P481" s="15"/>
      <c r="Q481" s="15"/>
      <c r="R481" s="16"/>
      <c r="S481" s="38"/>
      <c r="T481" s="38"/>
      <c r="U481" s="38"/>
      <c r="V481" s="38"/>
      <c r="W481" s="38"/>
      <c r="X481" s="38"/>
      <c r="Y481" s="38"/>
      <c r="Z481" s="38"/>
      <c r="AA481" s="38"/>
      <c r="AB481" s="38"/>
      <c r="AC481" s="38"/>
    </row>
    <row r="482" spans="1:29" ht="12.75">
      <c r="A482" s="38"/>
      <c r="B482" s="38"/>
      <c r="C482" s="40"/>
      <c r="D482" s="41"/>
      <c r="E482" s="40"/>
      <c r="F482" s="41"/>
      <c r="G482" s="40"/>
      <c r="H482" s="41"/>
      <c r="I482" s="39"/>
      <c r="J482" s="39"/>
      <c r="K482" s="40"/>
      <c r="L482" s="41"/>
      <c r="M482" s="38"/>
      <c r="N482" s="15"/>
      <c r="O482" s="15"/>
      <c r="P482" s="15"/>
      <c r="Q482" s="15"/>
      <c r="R482" s="16"/>
      <c r="S482" s="38"/>
      <c r="T482" s="38"/>
      <c r="U482" s="38"/>
      <c r="V482" s="38"/>
      <c r="W482" s="38"/>
      <c r="X482" s="38"/>
      <c r="Y482" s="38"/>
      <c r="Z482" s="38"/>
      <c r="AA482" s="38"/>
      <c r="AB482" s="38"/>
      <c r="AC482" s="38"/>
    </row>
    <row r="483" spans="1:29" ht="12.75">
      <c r="A483" s="38"/>
      <c r="B483" s="38"/>
      <c r="C483" s="40"/>
      <c r="D483" s="41"/>
      <c r="E483" s="40"/>
      <c r="F483" s="41"/>
      <c r="G483" s="40"/>
      <c r="H483" s="41"/>
      <c r="I483" s="39"/>
      <c r="J483" s="39"/>
      <c r="K483" s="40"/>
      <c r="L483" s="41"/>
      <c r="M483" s="38"/>
      <c r="N483" s="15"/>
      <c r="O483" s="15"/>
      <c r="P483" s="15"/>
      <c r="Q483" s="15"/>
      <c r="R483" s="16"/>
      <c r="S483" s="38"/>
      <c r="T483" s="38"/>
      <c r="U483" s="38"/>
      <c r="V483" s="38"/>
      <c r="W483" s="38"/>
      <c r="X483" s="38"/>
      <c r="Y483" s="38"/>
      <c r="Z483" s="38"/>
      <c r="AA483" s="38"/>
      <c r="AB483" s="38"/>
      <c r="AC483" s="38"/>
    </row>
    <row r="484" spans="1:29" ht="12.75">
      <c r="A484" s="38"/>
      <c r="B484" s="38"/>
      <c r="C484" s="40"/>
      <c r="D484" s="41"/>
      <c r="E484" s="40"/>
      <c r="F484" s="41"/>
      <c r="G484" s="40"/>
      <c r="H484" s="41"/>
      <c r="I484" s="39"/>
      <c r="J484" s="39"/>
      <c r="K484" s="40"/>
      <c r="L484" s="41"/>
      <c r="M484" s="38"/>
      <c r="N484" s="15"/>
      <c r="O484" s="15"/>
      <c r="P484" s="15"/>
      <c r="Q484" s="15"/>
      <c r="R484" s="16"/>
      <c r="S484" s="38"/>
      <c r="T484" s="38"/>
      <c r="U484" s="38"/>
      <c r="V484" s="38"/>
      <c r="W484" s="38"/>
      <c r="X484" s="38"/>
      <c r="Y484" s="38"/>
      <c r="Z484" s="38"/>
      <c r="AA484" s="38"/>
      <c r="AB484" s="38"/>
      <c r="AC484" s="38"/>
    </row>
    <row r="485" spans="1:29" ht="12.75">
      <c r="A485" s="38"/>
      <c r="B485" s="38"/>
      <c r="C485" s="40"/>
      <c r="D485" s="41"/>
      <c r="E485" s="40"/>
      <c r="F485" s="41"/>
      <c r="G485" s="40"/>
      <c r="H485" s="41"/>
      <c r="I485" s="39"/>
      <c r="J485" s="39"/>
      <c r="K485" s="40"/>
      <c r="L485" s="41"/>
      <c r="M485" s="38"/>
      <c r="N485" s="15"/>
      <c r="O485" s="15"/>
      <c r="P485" s="15"/>
      <c r="Q485" s="15"/>
      <c r="R485" s="16"/>
      <c r="S485" s="38"/>
      <c r="T485" s="38"/>
      <c r="U485" s="38"/>
      <c r="V485" s="38"/>
      <c r="W485" s="38"/>
      <c r="X485" s="38"/>
      <c r="Y485" s="38"/>
      <c r="Z485" s="38"/>
      <c r="AA485" s="38"/>
      <c r="AB485" s="38"/>
      <c r="AC485" s="38"/>
    </row>
    <row r="486" spans="1:29" ht="12.75">
      <c r="A486" s="38"/>
      <c r="B486" s="38"/>
      <c r="C486" s="40"/>
      <c r="D486" s="41"/>
      <c r="E486" s="40"/>
      <c r="F486" s="41"/>
      <c r="G486" s="40"/>
      <c r="H486" s="41"/>
      <c r="I486" s="39"/>
      <c r="J486" s="39"/>
      <c r="K486" s="40"/>
      <c r="L486" s="41"/>
      <c r="M486" s="38"/>
      <c r="N486" s="15"/>
      <c r="O486" s="15"/>
      <c r="P486" s="15"/>
      <c r="Q486" s="15"/>
      <c r="R486" s="16"/>
      <c r="S486" s="38"/>
      <c r="T486" s="38"/>
      <c r="U486" s="38"/>
      <c r="V486" s="38"/>
      <c r="W486" s="38"/>
      <c r="X486" s="38"/>
      <c r="Y486" s="38"/>
      <c r="Z486" s="38"/>
      <c r="AA486" s="38"/>
      <c r="AB486" s="38"/>
      <c r="AC486" s="38"/>
    </row>
    <row r="487" spans="1:29" ht="12.75">
      <c r="A487" s="38"/>
      <c r="B487" s="38"/>
      <c r="C487" s="40"/>
      <c r="D487" s="41"/>
      <c r="E487" s="40"/>
      <c r="F487" s="41"/>
      <c r="G487" s="40"/>
      <c r="H487" s="41"/>
      <c r="I487" s="39"/>
      <c r="J487" s="39"/>
      <c r="K487" s="40"/>
      <c r="L487" s="41"/>
      <c r="M487" s="38"/>
      <c r="N487" s="15"/>
      <c r="O487" s="15"/>
      <c r="P487" s="15"/>
      <c r="Q487" s="15"/>
      <c r="R487" s="16"/>
      <c r="S487" s="38"/>
      <c r="T487" s="38"/>
      <c r="U487" s="38"/>
      <c r="V487" s="38"/>
      <c r="W487" s="38"/>
      <c r="X487" s="38"/>
      <c r="Y487" s="38"/>
      <c r="Z487" s="38"/>
      <c r="AA487" s="38"/>
      <c r="AB487" s="38"/>
      <c r="AC487" s="38"/>
    </row>
    <row r="488" spans="1:29" ht="12.75">
      <c r="A488" s="38"/>
      <c r="B488" s="38"/>
      <c r="C488" s="40"/>
      <c r="D488" s="41"/>
      <c r="E488" s="40"/>
      <c r="F488" s="41"/>
      <c r="G488" s="40"/>
      <c r="H488" s="41"/>
      <c r="I488" s="39"/>
      <c r="J488" s="39"/>
      <c r="K488" s="40"/>
      <c r="L488" s="41"/>
      <c r="M488" s="38"/>
      <c r="N488" s="15"/>
      <c r="O488" s="15"/>
      <c r="P488" s="15"/>
      <c r="Q488" s="15"/>
      <c r="R488" s="16"/>
      <c r="S488" s="38"/>
      <c r="T488" s="38"/>
      <c r="U488" s="38"/>
      <c r="V488" s="38"/>
      <c r="W488" s="38"/>
      <c r="X488" s="38"/>
      <c r="Y488" s="38"/>
      <c r="Z488" s="38"/>
      <c r="AA488" s="38"/>
      <c r="AB488" s="38"/>
      <c r="AC488" s="38"/>
    </row>
    <row r="489" spans="1:29" ht="12.75">
      <c r="A489" s="38"/>
      <c r="B489" s="38"/>
      <c r="C489" s="40"/>
      <c r="D489" s="41"/>
      <c r="E489" s="40"/>
      <c r="F489" s="41"/>
      <c r="G489" s="40"/>
      <c r="H489" s="41"/>
      <c r="I489" s="39"/>
      <c r="J489" s="39"/>
      <c r="K489" s="40"/>
      <c r="L489" s="41"/>
      <c r="M489" s="38"/>
      <c r="N489" s="15"/>
      <c r="O489" s="15"/>
      <c r="P489" s="15"/>
      <c r="Q489" s="15"/>
      <c r="R489" s="16"/>
      <c r="S489" s="38"/>
      <c r="T489" s="38"/>
      <c r="U489" s="38"/>
      <c r="V489" s="38"/>
      <c r="W489" s="38"/>
      <c r="X489" s="38"/>
      <c r="Y489" s="38"/>
      <c r="Z489" s="38"/>
      <c r="AA489" s="38"/>
      <c r="AB489" s="38"/>
      <c r="AC489" s="38"/>
    </row>
    <row r="490" spans="1:29" ht="12.75">
      <c r="A490" s="38"/>
      <c r="B490" s="38"/>
      <c r="C490" s="40"/>
      <c r="D490" s="41"/>
      <c r="E490" s="40"/>
      <c r="F490" s="41"/>
      <c r="G490" s="40"/>
      <c r="H490" s="41"/>
      <c r="I490" s="39"/>
      <c r="J490" s="39"/>
      <c r="K490" s="40"/>
      <c r="L490" s="41"/>
      <c r="M490" s="38"/>
      <c r="N490" s="15"/>
      <c r="O490" s="15"/>
      <c r="P490" s="15"/>
      <c r="Q490" s="15"/>
      <c r="R490" s="16"/>
      <c r="S490" s="38"/>
      <c r="T490" s="38"/>
      <c r="U490" s="38"/>
      <c r="V490" s="38"/>
      <c r="W490" s="38"/>
      <c r="X490" s="38"/>
      <c r="Y490" s="38"/>
      <c r="Z490" s="38"/>
      <c r="AA490" s="38"/>
      <c r="AB490" s="38"/>
      <c r="AC490" s="38"/>
    </row>
    <row r="491" spans="1:29" ht="12.75">
      <c r="A491" s="38"/>
      <c r="B491" s="38"/>
      <c r="C491" s="40"/>
      <c r="D491" s="41"/>
      <c r="E491" s="40"/>
      <c r="F491" s="41"/>
      <c r="G491" s="40"/>
      <c r="H491" s="41"/>
      <c r="I491" s="39"/>
      <c r="J491" s="39"/>
      <c r="K491" s="40"/>
      <c r="L491" s="41"/>
      <c r="M491" s="38"/>
      <c r="N491" s="15"/>
      <c r="O491" s="15"/>
      <c r="P491" s="15"/>
      <c r="Q491" s="15"/>
      <c r="R491" s="16"/>
      <c r="S491" s="38"/>
      <c r="T491" s="38"/>
      <c r="U491" s="38"/>
      <c r="V491" s="38"/>
      <c r="W491" s="38"/>
      <c r="X491" s="38"/>
      <c r="Y491" s="38"/>
      <c r="Z491" s="38"/>
      <c r="AA491" s="38"/>
      <c r="AB491" s="38"/>
      <c r="AC491" s="38"/>
    </row>
    <row r="492" spans="1:29" ht="12.75">
      <c r="A492" s="38"/>
      <c r="B492" s="38"/>
      <c r="C492" s="40"/>
      <c r="D492" s="41"/>
      <c r="E492" s="40"/>
      <c r="F492" s="41"/>
      <c r="G492" s="40"/>
      <c r="H492" s="41"/>
      <c r="I492" s="39"/>
      <c r="J492" s="39"/>
      <c r="K492" s="40"/>
      <c r="L492" s="41"/>
      <c r="M492" s="38"/>
      <c r="N492" s="15"/>
      <c r="O492" s="15"/>
      <c r="P492" s="15"/>
      <c r="Q492" s="15"/>
      <c r="R492" s="16"/>
      <c r="S492" s="38"/>
      <c r="T492" s="38"/>
      <c r="U492" s="38"/>
      <c r="V492" s="38"/>
      <c r="W492" s="38"/>
      <c r="X492" s="38"/>
      <c r="Y492" s="38"/>
      <c r="Z492" s="38"/>
      <c r="AA492" s="38"/>
      <c r="AB492" s="38"/>
      <c r="AC492" s="38"/>
    </row>
    <row r="493" spans="1:29" ht="12.75">
      <c r="A493" s="38"/>
      <c r="B493" s="38"/>
      <c r="C493" s="40"/>
      <c r="D493" s="41"/>
      <c r="E493" s="40"/>
      <c r="F493" s="41"/>
      <c r="G493" s="40"/>
      <c r="H493" s="41"/>
      <c r="I493" s="39"/>
      <c r="J493" s="39"/>
      <c r="K493" s="40"/>
      <c r="L493" s="41"/>
      <c r="M493" s="38"/>
      <c r="N493" s="15"/>
      <c r="O493" s="15"/>
      <c r="P493" s="15"/>
      <c r="Q493" s="15"/>
      <c r="R493" s="16"/>
      <c r="S493" s="38"/>
      <c r="T493" s="38"/>
      <c r="U493" s="38"/>
      <c r="V493" s="38"/>
      <c r="W493" s="38"/>
      <c r="X493" s="38"/>
      <c r="Y493" s="38"/>
      <c r="Z493" s="38"/>
      <c r="AA493" s="38"/>
      <c r="AB493" s="38"/>
      <c r="AC493" s="38"/>
    </row>
    <row r="494" spans="1:29" ht="12.75">
      <c r="A494" s="38"/>
      <c r="B494" s="38"/>
      <c r="C494" s="40"/>
      <c r="D494" s="41"/>
      <c r="E494" s="40"/>
      <c r="F494" s="41"/>
      <c r="G494" s="40"/>
      <c r="H494" s="41"/>
      <c r="I494" s="39"/>
      <c r="J494" s="39"/>
      <c r="K494" s="40"/>
      <c r="L494" s="41"/>
      <c r="M494" s="38"/>
      <c r="N494" s="15"/>
      <c r="O494" s="15"/>
      <c r="P494" s="15"/>
      <c r="Q494" s="15"/>
      <c r="R494" s="16"/>
      <c r="S494" s="38"/>
      <c r="T494" s="38"/>
      <c r="U494" s="38"/>
      <c r="V494" s="38"/>
      <c r="W494" s="38"/>
      <c r="X494" s="38"/>
      <c r="Y494" s="38"/>
      <c r="Z494" s="38"/>
      <c r="AA494" s="38"/>
      <c r="AB494" s="38"/>
      <c r="AC494" s="38"/>
    </row>
    <row r="495" spans="1:29" ht="12.75">
      <c r="A495" s="38"/>
      <c r="B495" s="38"/>
      <c r="C495" s="40"/>
      <c r="D495" s="41"/>
      <c r="E495" s="40"/>
      <c r="F495" s="41"/>
      <c r="G495" s="40"/>
      <c r="H495" s="41"/>
      <c r="I495" s="39"/>
      <c r="J495" s="39"/>
      <c r="K495" s="40"/>
      <c r="L495" s="41"/>
      <c r="M495" s="38"/>
      <c r="N495" s="15"/>
      <c r="O495" s="15"/>
      <c r="P495" s="15"/>
      <c r="Q495" s="15"/>
      <c r="R495" s="16"/>
      <c r="S495" s="38"/>
      <c r="T495" s="38"/>
      <c r="U495" s="38"/>
      <c r="V495" s="38"/>
      <c r="W495" s="38"/>
      <c r="X495" s="38"/>
      <c r="Y495" s="38"/>
      <c r="Z495" s="38"/>
      <c r="AA495" s="38"/>
      <c r="AB495" s="38"/>
      <c r="AC495" s="38"/>
    </row>
    <row r="496" spans="1:29" ht="12.75">
      <c r="A496" s="38"/>
      <c r="B496" s="38"/>
      <c r="C496" s="40"/>
      <c r="D496" s="41"/>
      <c r="E496" s="40"/>
      <c r="F496" s="41"/>
      <c r="G496" s="40"/>
      <c r="H496" s="41"/>
      <c r="I496" s="39"/>
      <c r="J496" s="39"/>
      <c r="K496" s="40"/>
      <c r="L496" s="41"/>
      <c r="M496" s="38"/>
      <c r="N496" s="15"/>
      <c r="O496" s="15"/>
      <c r="P496" s="15"/>
      <c r="Q496" s="15"/>
      <c r="R496" s="16"/>
      <c r="S496" s="38"/>
      <c r="T496" s="38"/>
      <c r="U496" s="38"/>
      <c r="V496" s="38"/>
      <c r="W496" s="38"/>
      <c r="X496" s="38"/>
      <c r="Y496" s="38"/>
      <c r="Z496" s="38"/>
      <c r="AA496" s="38"/>
      <c r="AB496" s="38"/>
      <c r="AC496" s="38"/>
    </row>
    <row r="497" spans="1:29" ht="12.75">
      <c r="A497" s="38"/>
      <c r="B497" s="38"/>
      <c r="C497" s="40"/>
      <c r="D497" s="41"/>
      <c r="E497" s="40"/>
      <c r="F497" s="41"/>
      <c r="G497" s="40"/>
      <c r="H497" s="41"/>
      <c r="I497" s="39"/>
      <c r="J497" s="39"/>
      <c r="K497" s="40"/>
      <c r="L497" s="41"/>
      <c r="M497" s="38"/>
      <c r="N497" s="15"/>
      <c r="O497" s="15"/>
      <c r="P497" s="15"/>
      <c r="Q497" s="15"/>
      <c r="R497" s="16"/>
      <c r="S497" s="38"/>
      <c r="T497" s="38"/>
      <c r="U497" s="38"/>
      <c r="V497" s="38"/>
      <c r="W497" s="38"/>
      <c r="X497" s="38"/>
      <c r="Y497" s="38"/>
      <c r="Z497" s="38"/>
      <c r="AA497" s="38"/>
      <c r="AB497" s="38"/>
      <c r="AC497" s="38"/>
    </row>
    <row r="498" spans="1:29" ht="12.75">
      <c r="A498" s="38"/>
      <c r="B498" s="38"/>
      <c r="C498" s="40"/>
      <c r="D498" s="41"/>
      <c r="E498" s="40"/>
      <c r="F498" s="41"/>
      <c r="G498" s="40"/>
      <c r="H498" s="41"/>
      <c r="I498" s="39"/>
      <c r="J498" s="39"/>
      <c r="K498" s="40"/>
      <c r="L498" s="41"/>
      <c r="M498" s="38"/>
      <c r="N498" s="15"/>
      <c r="O498" s="15"/>
      <c r="P498" s="15"/>
      <c r="Q498" s="15"/>
      <c r="R498" s="16"/>
      <c r="S498" s="38"/>
      <c r="T498" s="38"/>
      <c r="U498" s="38"/>
      <c r="V498" s="38"/>
      <c r="W498" s="38"/>
      <c r="X498" s="38"/>
      <c r="Y498" s="38"/>
      <c r="Z498" s="38"/>
      <c r="AA498" s="38"/>
      <c r="AB498" s="38"/>
      <c r="AC498" s="38"/>
    </row>
    <row r="499" spans="1:29" ht="12.75">
      <c r="A499" s="38"/>
      <c r="B499" s="38"/>
      <c r="C499" s="40"/>
      <c r="D499" s="41"/>
      <c r="E499" s="40"/>
      <c r="F499" s="41"/>
      <c r="G499" s="40"/>
      <c r="H499" s="41"/>
      <c r="I499" s="39"/>
      <c r="J499" s="39"/>
      <c r="K499" s="40"/>
      <c r="L499" s="41"/>
      <c r="M499" s="38"/>
      <c r="N499" s="15"/>
      <c r="O499" s="15"/>
      <c r="P499" s="15"/>
      <c r="Q499" s="15"/>
      <c r="R499" s="16"/>
      <c r="S499" s="38"/>
      <c r="T499" s="38"/>
      <c r="U499" s="38"/>
      <c r="V499" s="38"/>
      <c r="W499" s="38"/>
      <c r="X499" s="38"/>
      <c r="Y499" s="38"/>
      <c r="Z499" s="38"/>
      <c r="AA499" s="38"/>
      <c r="AB499" s="38"/>
      <c r="AC499" s="38"/>
    </row>
    <row r="500" spans="1:29" ht="12.75">
      <c r="A500" s="38"/>
      <c r="B500" s="38"/>
      <c r="C500" s="40"/>
      <c r="D500" s="41"/>
      <c r="E500" s="40"/>
      <c r="F500" s="41"/>
      <c r="G500" s="40"/>
      <c r="H500" s="41"/>
      <c r="I500" s="39"/>
      <c r="J500" s="39"/>
      <c r="K500" s="40"/>
      <c r="L500" s="41"/>
      <c r="M500" s="38"/>
      <c r="N500" s="15"/>
      <c r="O500" s="15"/>
      <c r="P500" s="15"/>
      <c r="Q500" s="15"/>
      <c r="R500" s="16"/>
      <c r="S500" s="38"/>
      <c r="T500" s="38"/>
      <c r="U500" s="38"/>
      <c r="V500" s="38"/>
      <c r="W500" s="38"/>
      <c r="X500" s="38"/>
      <c r="Y500" s="38"/>
      <c r="Z500" s="38"/>
      <c r="AA500" s="38"/>
      <c r="AB500" s="38"/>
      <c r="AC500" s="38"/>
    </row>
    <row r="501" spans="1:29" ht="12.75">
      <c r="A501" s="38"/>
      <c r="B501" s="38"/>
      <c r="C501" s="40"/>
      <c r="D501" s="41"/>
      <c r="E501" s="40"/>
      <c r="F501" s="41"/>
      <c r="G501" s="40"/>
      <c r="H501" s="41"/>
      <c r="I501" s="39"/>
      <c r="J501" s="39"/>
      <c r="K501" s="40"/>
      <c r="L501" s="41"/>
      <c r="M501" s="38"/>
      <c r="N501" s="15"/>
      <c r="O501" s="15"/>
      <c r="P501" s="15"/>
      <c r="Q501" s="15"/>
      <c r="R501" s="16"/>
      <c r="S501" s="38"/>
      <c r="T501" s="38"/>
      <c r="U501" s="38"/>
      <c r="V501" s="38"/>
      <c r="W501" s="38"/>
      <c r="X501" s="38"/>
      <c r="Y501" s="38"/>
      <c r="Z501" s="38"/>
      <c r="AA501" s="38"/>
      <c r="AB501" s="38"/>
      <c r="AC501" s="38"/>
    </row>
    <row r="502" spans="1:29" ht="12.75">
      <c r="A502" s="38"/>
      <c r="B502" s="38"/>
      <c r="C502" s="40"/>
      <c r="D502" s="41"/>
      <c r="E502" s="40"/>
      <c r="F502" s="41"/>
      <c r="G502" s="40"/>
      <c r="H502" s="41"/>
      <c r="I502" s="39"/>
      <c r="J502" s="39"/>
      <c r="K502" s="40"/>
      <c r="L502" s="41"/>
      <c r="M502" s="38"/>
      <c r="N502" s="15"/>
      <c r="O502" s="15"/>
      <c r="P502" s="15"/>
      <c r="Q502" s="15"/>
      <c r="R502" s="16"/>
      <c r="S502" s="38"/>
      <c r="T502" s="38"/>
      <c r="U502" s="38"/>
      <c r="V502" s="38"/>
      <c r="W502" s="38"/>
      <c r="X502" s="38"/>
      <c r="Y502" s="38"/>
      <c r="Z502" s="38"/>
      <c r="AA502" s="38"/>
      <c r="AB502" s="38"/>
      <c r="AC502" s="38"/>
    </row>
    <row r="503" spans="1:29" ht="12.75">
      <c r="A503" s="38"/>
      <c r="B503" s="38"/>
      <c r="C503" s="40"/>
      <c r="D503" s="41"/>
      <c r="E503" s="40"/>
      <c r="F503" s="41"/>
      <c r="G503" s="40"/>
      <c r="H503" s="41"/>
      <c r="I503" s="39"/>
      <c r="J503" s="39"/>
      <c r="K503" s="40"/>
      <c r="L503" s="41"/>
      <c r="M503" s="38"/>
      <c r="N503" s="15"/>
      <c r="O503" s="15"/>
      <c r="P503" s="15"/>
      <c r="Q503" s="15"/>
      <c r="R503" s="16"/>
      <c r="S503" s="38"/>
      <c r="T503" s="38"/>
      <c r="U503" s="38"/>
      <c r="V503" s="38"/>
      <c r="W503" s="38"/>
      <c r="X503" s="38"/>
      <c r="Y503" s="38"/>
      <c r="Z503" s="38"/>
      <c r="AA503" s="38"/>
      <c r="AB503" s="38"/>
      <c r="AC503" s="38"/>
    </row>
    <row r="504" spans="1:29" ht="12.75">
      <c r="A504" s="38"/>
      <c r="B504" s="38"/>
      <c r="C504" s="40"/>
      <c r="D504" s="41"/>
      <c r="E504" s="40"/>
      <c r="F504" s="41"/>
      <c r="G504" s="40"/>
      <c r="H504" s="41"/>
      <c r="I504" s="39"/>
      <c r="J504" s="39"/>
      <c r="K504" s="40"/>
      <c r="L504" s="41"/>
      <c r="M504" s="38"/>
      <c r="N504" s="15"/>
      <c r="O504" s="15"/>
      <c r="P504" s="15"/>
      <c r="Q504" s="15"/>
      <c r="R504" s="16"/>
      <c r="S504" s="38"/>
      <c r="T504" s="38"/>
      <c r="U504" s="38"/>
      <c r="V504" s="38"/>
      <c r="W504" s="38"/>
      <c r="X504" s="38"/>
      <c r="Y504" s="38"/>
      <c r="Z504" s="38"/>
      <c r="AA504" s="38"/>
      <c r="AB504" s="38"/>
      <c r="AC504" s="38"/>
    </row>
    <row r="505" spans="1:29" ht="12.75">
      <c r="A505" s="38"/>
      <c r="B505" s="38"/>
      <c r="C505" s="40"/>
      <c r="D505" s="41"/>
      <c r="E505" s="40"/>
      <c r="F505" s="41"/>
      <c r="G505" s="40"/>
      <c r="H505" s="41"/>
      <c r="I505" s="39"/>
      <c r="J505" s="39"/>
      <c r="K505" s="40"/>
      <c r="L505" s="41"/>
      <c r="M505" s="38"/>
      <c r="N505" s="15"/>
      <c r="O505" s="15"/>
      <c r="P505" s="15"/>
      <c r="Q505" s="15"/>
      <c r="R505" s="16"/>
      <c r="S505" s="38"/>
      <c r="T505" s="38"/>
      <c r="U505" s="38"/>
      <c r="V505" s="38"/>
      <c r="W505" s="38"/>
      <c r="X505" s="38"/>
      <c r="Y505" s="38"/>
      <c r="Z505" s="38"/>
      <c r="AA505" s="38"/>
      <c r="AB505" s="38"/>
      <c r="AC505" s="38"/>
    </row>
    <row r="506" spans="1:29" ht="12.75">
      <c r="A506" s="38"/>
      <c r="B506" s="38"/>
      <c r="C506" s="40"/>
      <c r="D506" s="41"/>
      <c r="E506" s="40"/>
      <c r="F506" s="41"/>
      <c r="G506" s="40"/>
      <c r="H506" s="41"/>
      <c r="I506" s="39"/>
      <c r="J506" s="39"/>
      <c r="K506" s="40"/>
      <c r="L506" s="41"/>
      <c r="M506" s="38"/>
      <c r="N506" s="15"/>
      <c r="O506" s="15"/>
      <c r="P506" s="15"/>
      <c r="Q506" s="15"/>
      <c r="R506" s="16"/>
      <c r="S506" s="38"/>
      <c r="T506" s="38"/>
      <c r="U506" s="38"/>
      <c r="V506" s="38"/>
      <c r="W506" s="38"/>
      <c r="X506" s="38"/>
      <c r="Y506" s="38"/>
      <c r="Z506" s="38"/>
      <c r="AA506" s="38"/>
      <c r="AB506" s="38"/>
      <c r="AC506" s="38"/>
    </row>
    <row r="507" spans="1:29" ht="12.75">
      <c r="A507" s="38"/>
      <c r="B507" s="38"/>
      <c r="C507" s="40"/>
      <c r="D507" s="41"/>
      <c r="E507" s="40"/>
      <c r="F507" s="41"/>
      <c r="G507" s="40"/>
      <c r="H507" s="41"/>
      <c r="I507" s="39"/>
      <c r="J507" s="39"/>
      <c r="K507" s="40"/>
      <c r="L507" s="41"/>
      <c r="M507" s="38"/>
      <c r="N507" s="15"/>
      <c r="O507" s="15"/>
      <c r="P507" s="15"/>
      <c r="Q507" s="15"/>
      <c r="R507" s="16"/>
      <c r="S507" s="38"/>
      <c r="T507" s="38"/>
      <c r="U507" s="38"/>
      <c r="V507" s="38"/>
      <c r="W507" s="38"/>
      <c r="X507" s="38"/>
      <c r="Y507" s="38"/>
      <c r="Z507" s="38"/>
      <c r="AA507" s="38"/>
      <c r="AB507" s="38"/>
      <c r="AC507" s="38"/>
    </row>
    <row r="508" spans="1:29" ht="12.75">
      <c r="A508" s="38"/>
      <c r="B508" s="38"/>
      <c r="C508" s="40"/>
      <c r="D508" s="41"/>
      <c r="E508" s="40"/>
      <c r="F508" s="41"/>
      <c r="G508" s="40"/>
      <c r="H508" s="41"/>
      <c r="I508" s="39"/>
      <c r="J508" s="39"/>
      <c r="K508" s="40"/>
      <c r="L508" s="41"/>
      <c r="M508" s="38"/>
      <c r="N508" s="15"/>
      <c r="O508" s="15"/>
      <c r="P508" s="15"/>
      <c r="Q508" s="15"/>
      <c r="R508" s="16"/>
      <c r="S508" s="38"/>
      <c r="T508" s="38"/>
      <c r="U508" s="38"/>
      <c r="V508" s="38"/>
      <c r="W508" s="38"/>
      <c r="X508" s="38"/>
      <c r="Y508" s="38"/>
      <c r="Z508" s="38"/>
      <c r="AA508" s="38"/>
      <c r="AB508" s="38"/>
      <c r="AC508" s="38"/>
    </row>
    <row r="509" spans="1:29" ht="12.75">
      <c r="A509" s="38"/>
      <c r="B509" s="38"/>
      <c r="C509" s="40"/>
      <c r="D509" s="41"/>
      <c r="E509" s="40"/>
      <c r="F509" s="41"/>
      <c r="G509" s="40"/>
      <c r="H509" s="41"/>
      <c r="I509" s="39"/>
      <c r="J509" s="39"/>
      <c r="K509" s="40"/>
      <c r="L509" s="41"/>
      <c r="M509" s="38"/>
      <c r="N509" s="15"/>
      <c r="O509" s="15"/>
      <c r="P509" s="15"/>
      <c r="Q509" s="15"/>
      <c r="R509" s="16"/>
      <c r="S509" s="38"/>
      <c r="T509" s="38"/>
      <c r="U509" s="38"/>
      <c r="V509" s="38"/>
      <c r="W509" s="38"/>
      <c r="X509" s="38"/>
      <c r="Y509" s="38"/>
      <c r="Z509" s="38"/>
      <c r="AA509" s="38"/>
      <c r="AB509" s="38"/>
      <c r="AC509" s="38"/>
    </row>
    <row r="510" spans="1:29" ht="12.75">
      <c r="A510" s="38"/>
      <c r="B510" s="38"/>
      <c r="C510" s="40"/>
      <c r="D510" s="41"/>
      <c r="E510" s="40"/>
      <c r="F510" s="41"/>
      <c r="G510" s="40"/>
      <c r="H510" s="41"/>
      <c r="I510" s="39"/>
      <c r="J510" s="39"/>
      <c r="K510" s="40"/>
      <c r="L510" s="41"/>
      <c r="M510" s="38"/>
      <c r="N510" s="15"/>
      <c r="O510" s="15"/>
      <c r="P510" s="15"/>
      <c r="Q510" s="15"/>
      <c r="R510" s="16"/>
      <c r="S510" s="38"/>
      <c r="T510" s="38"/>
      <c r="U510" s="38"/>
      <c r="V510" s="38"/>
      <c r="W510" s="38"/>
      <c r="X510" s="38"/>
      <c r="Y510" s="38"/>
      <c r="Z510" s="38"/>
      <c r="AA510" s="38"/>
      <c r="AB510" s="38"/>
      <c r="AC510" s="38"/>
    </row>
    <row r="511" spans="1:29" ht="12.75">
      <c r="A511" s="38"/>
      <c r="B511" s="38"/>
      <c r="C511" s="40"/>
      <c r="D511" s="41"/>
      <c r="E511" s="40"/>
      <c r="F511" s="41"/>
      <c r="G511" s="40"/>
      <c r="H511" s="41"/>
      <c r="I511" s="39"/>
      <c r="J511" s="39"/>
      <c r="K511" s="40"/>
      <c r="L511" s="41"/>
      <c r="M511" s="38"/>
      <c r="N511" s="15"/>
      <c r="O511" s="15"/>
      <c r="P511" s="15"/>
      <c r="Q511" s="15"/>
      <c r="R511" s="16"/>
      <c r="S511" s="38"/>
      <c r="T511" s="38"/>
      <c r="U511" s="38"/>
      <c r="V511" s="38"/>
      <c r="W511" s="38"/>
      <c r="X511" s="38"/>
      <c r="Y511" s="38"/>
      <c r="Z511" s="38"/>
      <c r="AA511" s="38"/>
      <c r="AB511" s="38"/>
      <c r="AC511" s="38"/>
    </row>
    <row r="512" spans="1:29" ht="12.75">
      <c r="A512" s="38"/>
      <c r="B512" s="38"/>
      <c r="C512" s="40"/>
      <c r="D512" s="41"/>
      <c r="E512" s="40"/>
      <c r="F512" s="41"/>
      <c r="G512" s="40"/>
      <c r="H512" s="41"/>
      <c r="I512" s="39"/>
      <c r="J512" s="39"/>
      <c r="K512" s="40"/>
      <c r="L512" s="41"/>
      <c r="M512" s="38"/>
      <c r="N512" s="15"/>
      <c r="O512" s="15"/>
      <c r="P512" s="15"/>
      <c r="Q512" s="15"/>
      <c r="R512" s="16"/>
      <c r="S512" s="38"/>
      <c r="T512" s="38"/>
      <c r="U512" s="38"/>
      <c r="V512" s="38"/>
      <c r="W512" s="38"/>
      <c r="X512" s="38"/>
      <c r="Y512" s="38"/>
      <c r="Z512" s="38"/>
      <c r="AA512" s="38"/>
      <c r="AB512" s="38"/>
      <c r="AC512" s="38"/>
    </row>
    <row r="513" spans="1:29" ht="12.75">
      <c r="A513" s="38"/>
      <c r="B513" s="38"/>
      <c r="C513" s="40"/>
      <c r="D513" s="41"/>
      <c r="E513" s="40"/>
      <c r="F513" s="41"/>
      <c r="G513" s="40"/>
      <c r="H513" s="41"/>
      <c r="I513" s="39"/>
      <c r="J513" s="39"/>
      <c r="K513" s="40"/>
      <c r="L513" s="41"/>
      <c r="M513" s="38"/>
      <c r="N513" s="15"/>
      <c r="O513" s="15"/>
      <c r="P513" s="15"/>
      <c r="Q513" s="15"/>
      <c r="R513" s="16"/>
      <c r="S513" s="38"/>
      <c r="T513" s="38"/>
      <c r="U513" s="38"/>
      <c r="V513" s="38"/>
      <c r="W513" s="38"/>
      <c r="X513" s="38"/>
      <c r="Y513" s="38"/>
      <c r="Z513" s="38"/>
      <c r="AA513" s="38"/>
      <c r="AB513" s="38"/>
      <c r="AC513" s="38"/>
    </row>
    <row r="514" spans="1:29" ht="12.75">
      <c r="A514" s="38"/>
      <c r="B514" s="38"/>
      <c r="C514" s="40"/>
      <c r="D514" s="41"/>
      <c r="E514" s="40"/>
      <c r="F514" s="41"/>
      <c r="G514" s="40"/>
      <c r="H514" s="41"/>
      <c r="I514" s="39"/>
      <c r="J514" s="39"/>
      <c r="K514" s="40"/>
      <c r="L514" s="41"/>
      <c r="M514" s="38"/>
      <c r="N514" s="15"/>
      <c r="O514" s="15"/>
      <c r="P514" s="15"/>
      <c r="Q514" s="15"/>
      <c r="R514" s="16"/>
      <c r="S514" s="38"/>
      <c r="T514" s="38"/>
      <c r="U514" s="38"/>
      <c r="V514" s="38"/>
      <c r="W514" s="38"/>
      <c r="X514" s="38"/>
      <c r="Y514" s="38"/>
      <c r="Z514" s="38"/>
      <c r="AA514" s="38"/>
      <c r="AB514" s="38"/>
      <c r="AC514" s="38"/>
    </row>
    <row r="515" spans="1:29" ht="12.75">
      <c r="A515" s="38"/>
      <c r="B515" s="38"/>
      <c r="C515" s="40"/>
      <c r="D515" s="41"/>
      <c r="E515" s="40"/>
      <c r="F515" s="41"/>
      <c r="G515" s="40"/>
      <c r="H515" s="41"/>
      <c r="I515" s="39"/>
      <c r="J515" s="39"/>
      <c r="K515" s="40"/>
      <c r="L515" s="41"/>
      <c r="M515" s="38"/>
      <c r="N515" s="15"/>
      <c r="O515" s="15"/>
      <c r="P515" s="15"/>
      <c r="Q515" s="15"/>
      <c r="R515" s="16"/>
      <c r="S515" s="38"/>
      <c r="T515" s="38"/>
      <c r="U515" s="38"/>
      <c r="V515" s="38"/>
      <c r="W515" s="38"/>
      <c r="X515" s="38"/>
      <c r="Y515" s="38"/>
      <c r="Z515" s="38"/>
      <c r="AA515" s="38"/>
      <c r="AB515" s="38"/>
      <c r="AC515" s="38"/>
    </row>
    <row r="516" spans="1:29" ht="12.75">
      <c r="A516" s="38"/>
      <c r="B516" s="38"/>
      <c r="C516" s="40"/>
      <c r="D516" s="41"/>
      <c r="E516" s="40"/>
      <c r="F516" s="41"/>
      <c r="G516" s="40"/>
      <c r="H516" s="41"/>
      <c r="I516" s="39"/>
      <c r="J516" s="39"/>
      <c r="K516" s="40"/>
      <c r="L516" s="41"/>
      <c r="M516" s="38"/>
      <c r="N516" s="15"/>
      <c r="O516" s="15"/>
      <c r="P516" s="15"/>
      <c r="Q516" s="15"/>
      <c r="R516" s="16"/>
      <c r="S516" s="38"/>
      <c r="T516" s="38"/>
      <c r="U516" s="38"/>
      <c r="V516" s="38"/>
      <c r="W516" s="38"/>
      <c r="X516" s="38"/>
      <c r="Y516" s="38"/>
      <c r="Z516" s="38"/>
      <c r="AA516" s="38"/>
      <c r="AB516" s="38"/>
      <c r="AC516" s="38"/>
    </row>
    <row r="517" spans="1:29" ht="12.75">
      <c r="A517" s="38"/>
      <c r="B517" s="38"/>
      <c r="C517" s="40"/>
      <c r="D517" s="41"/>
      <c r="E517" s="40"/>
      <c r="F517" s="41"/>
      <c r="G517" s="40"/>
      <c r="H517" s="41"/>
      <c r="I517" s="39"/>
      <c r="J517" s="39"/>
      <c r="K517" s="40"/>
      <c r="L517" s="41"/>
      <c r="M517" s="38"/>
      <c r="N517" s="15"/>
      <c r="O517" s="15"/>
      <c r="P517" s="15"/>
      <c r="Q517" s="15"/>
      <c r="R517" s="16"/>
      <c r="S517" s="38"/>
      <c r="T517" s="38"/>
      <c r="U517" s="38"/>
      <c r="V517" s="38"/>
      <c r="W517" s="38"/>
      <c r="X517" s="38"/>
      <c r="Y517" s="38"/>
      <c r="Z517" s="38"/>
      <c r="AA517" s="38"/>
      <c r="AB517" s="38"/>
      <c r="AC517" s="38"/>
    </row>
    <row r="518" spans="1:29" ht="12.75">
      <c r="A518" s="38"/>
      <c r="B518" s="38"/>
      <c r="C518" s="40"/>
      <c r="D518" s="41"/>
      <c r="E518" s="40"/>
      <c r="F518" s="41"/>
      <c r="G518" s="40"/>
      <c r="H518" s="41"/>
      <c r="I518" s="39"/>
      <c r="J518" s="39"/>
      <c r="K518" s="40"/>
      <c r="L518" s="41"/>
      <c r="M518" s="38"/>
      <c r="N518" s="15"/>
      <c r="O518" s="15"/>
      <c r="P518" s="15"/>
      <c r="Q518" s="15"/>
      <c r="R518" s="16"/>
      <c r="S518" s="38"/>
      <c r="T518" s="38"/>
      <c r="U518" s="38"/>
      <c r="V518" s="38"/>
      <c r="W518" s="38"/>
      <c r="X518" s="38"/>
      <c r="Y518" s="38"/>
      <c r="Z518" s="38"/>
      <c r="AA518" s="38"/>
      <c r="AB518" s="38"/>
      <c r="AC518" s="38"/>
    </row>
    <row r="519" spans="1:29" ht="12.75">
      <c r="A519" s="38"/>
      <c r="B519" s="38"/>
      <c r="C519" s="40"/>
      <c r="D519" s="41"/>
      <c r="E519" s="40"/>
      <c r="F519" s="41"/>
      <c r="G519" s="40"/>
      <c r="H519" s="41"/>
      <c r="I519" s="39"/>
      <c r="J519" s="39"/>
      <c r="K519" s="40"/>
      <c r="L519" s="41"/>
      <c r="M519" s="38"/>
      <c r="N519" s="15"/>
      <c r="O519" s="15"/>
      <c r="P519" s="15"/>
      <c r="Q519" s="15"/>
      <c r="R519" s="16"/>
      <c r="S519" s="38"/>
      <c r="T519" s="38"/>
      <c r="U519" s="38"/>
      <c r="V519" s="38"/>
      <c r="W519" s="38"/>
      <c r="X519" s="38"/>
      <c r="Y519" s="38"/>
      <c r="Z519" s="38"/>
      <c r="AA519" s="38"/>
      <c r="AB519" s="38"/>
      <c r="AC519" s="38"/>
    </row>
    <row r="520" spans="1:29" ht="12.75">
      <c r="A520" s="38"/>
      <c r="B520" s="38"/>
      <c r="C520" s="40"/>
      <c r="D520" s="41"/>
      <c r="E520" s="40"/>
      <c r="F520" s="41"/>
      <c r="G520" s="40"/>
      <c r="H520" s="41"/>
      <c r="I520" s="39"/>
      <c r="J520" s="39"/>
      <c r="K520" s="40"/>
      <c r="L520" s="41"/>
      <c r="M520" s="38"/>
      <c r="N520" s="15"/>
      <c r="O520" s="15"/>
      <c r="P520" s="15"/>
      <c r="Q520" s="15"/>
      <c r="R520" s="16"/>
      <c r="S520" s="38"/>
      <c r="T520" s="38"/>
      <c r="U520" s="38"/>
      <c r="V520" s="38"/>
      <c r="W520" s="38"/>
      <c r="X520" s="38"/>
      <c r="Y520" s="38"/>
      <c r="Z520" s="38"/>
      <c r="AA520" s="38"/>
      <c r="AB520" s="38"/>
      <c r="AC520" s="38"/>
    </row>
    <row r="521" spans="1:29" ht="12.75">
      <c r="A521" s="38"/>
      <c r="B521" s="38"/>
      <c r="C521" s="40"/>
      <c r="D521" s="41"/>
      <c r="E521" s="40"/>
      <c r="F521" s="41"/>
      <c r="G521" s="40"/>
      <c r="H521" s="41"/>
      <c r="I521" s="39"/>
      <c r="J521" s="39"/>
      <c r="K521" s="40"/>
      <c r="L521" s="41"/>
      <c r="M521" s="38"/>
      <c r="N521" s="15"/>
      <c r="O521" s="15"/>
      <c r="P521" s="15"/>
      <c r="Q521" s="15"/>
      <c r="R521" s="16"/>
      <c r="S521" s="38"/>
      <c r="T521" s="38"/>
      <c r="U521" s="38"/>
      <c r="V521" s="38"/>
      <c r="W521" s="38"/>
      <c r="X521" s="38"/>
      <c r="Y521" s="38"/>
      <c r="Z521" s="38"/>
      <c r="AA521" s="38"/>
      <c r="AB521" s="38"/>
      <c r="AC521" s="38"/>
    </row>
    <row r="522" spans="1:29" ht="12.75">
      <c r="A522" s="38"/>
      <c r="B522" s="38"/>
      <c r="C522" s="40"/>
      <c r="D522" s="41"/>
      <c r="E522" s="40"/>
      <c r="F522" s="41"/>
      <c r="G522" s="40"/>
      <c r="H522" s="41"/>
      <c r="I522" s="39"/>
      <c r="J522" s="39"/>
      <c r="K522" s="40"/>
      <c r="L522" s="41"/>
      <c r="M522" s="38"/>
      <c r="N522" s="15"/>
      <c r="O522" s="15"/>
      <c r="P522" s="15"/>
      <c r="Q522" s="15"/>
      <c r="R522" s="16"/>
      <c r="S522" s="38"/>
      <c r="T522" s="38"/>
      <c r="U522" s="38"/>
      <c r="V522" s="38"/>
      <c r="W522" s="38"/>
      <c r="X522" s="38"/>
      <c r="Y522" s="38"/>
      <c r="Z522" s="38"/>
      <c r="AA522" s="38"/>
      <c r="AB522" s="38"/>
      <c r="AC522" s="38"/>
    </row>
    <row r="523" spans="1:29" ht="12.75">
      <c r="A523" s="38"/>
      <c r="B523" s="38"/>
      <c r="C523" s="40"/>
      <c r="D523" s="41"/>
      <c r="E523" s="40"/>
      <c r="F523" s="41"/>
      <c r="G523" s="40"/>
      <c r="H523" s="41"/>
      <c r="I523" s="39"/>
      <c r="J523" s="39"/>
      <c r="K523" s="40"/>
      <c r="L523" s="41"/>
      <c r="M523" s="38"/>
      <c r="N523" s="15"/>
      <c r="O523" s="15"/>
      <c r="P523" s="15"/>
      <c r="Q523" s="15"/>
      <c r="R523" s="16"/>
      <c r="S523" s="38"/>
      <c r="T523" s="38"/>
      <c r="U523" s="38"/>
      <c r="V523" s="38"/>
      <c r="W523" s="38"/>
      <c r="X523" s="38"/>
      <c r="Y523" s="38"/>
      <c r="Z523" s="38"/>
      <c r="AA523" s="38"/>
      <c r="AB523" s="38"/>
      <c r="AC523" s="38"/>
    </row>
    <row r="524" spans="1:29" ht="12.75">
      <c r="A524" s="38"/>
      <c r="B524" s="38"/>
      <c r="C524" s="40"/>
      <c r="D524" s="41"/>
      <c r="E524" s="40"/>
      <c r="F524" s="41"/>
      <c r="G524" s="40"/>
      <c r="H524" s="41"/>
      <c r="I524" s="39"/>
      <c r="J524" s="39"/>
      <c r="K524" s="40"/>
      <c r="L524" s="41"/>
      <c r="M524" s="38"/>
      <c r="N524" s="15"/>
      <c r="O524" s="15"/>
      <c r="P524" s="15"/>
      <c r="Q524" s="15"/>
      <c r="R524" s="16"/>
      <c r="S524" s="38"/>
      <c r="T524" s="38"/>
      <c r="U524" s="38"/>
      <c r="V524" s="38"/>
      <c r="W524" s="38"/>
      <c r="X524" s="38"/>
      <c r="Y524" s="38"/>
      <c r="Z524" s="38"/>
      <c r="AA524" s="38"/>
      <c r="AB524" s="38"/>
      <c r="AC524" s="38"/>
    </row>
    <row r="525" spans="1:29" ht="12.75">
      <c r="A525" s="38"/>
      <c r="B525" s="38"/>
      <c r="C525" s="40"/>
      <c r="D525" s="41"/>
      <c r="E525" s="40"/>
      <c r="F525" s="41"/>
      <c r="G525" s="40"/>
      <c r="H525" s="41"/>
      <c r="I525" s="39"/>
      <c r="J525" s="39"/>
      <c r="K525" s="40"/>
      <c r="L525" s="41"/>
      <c r="M525" s="38"/>
      <c r="N525" s="15"/>
      <c r="O525" s="15"/>
      <c r="P525" s="15"/>
      <c r="Q525" s="15"/>
      <c r="R525" s="16"/>
      <c r="S525" s="38"/>
      <c r="T525" s="38"/>
      <c r="U525" s="38"/>
      <c r="V525" s="38"/>
      <c r="W525" s="38"/>
      <c r="X525" s="38"/>
      <c r="Y525" s="38"/>
      <c r="Z525" s="38"/>
      <c r="AA525" s="38"/>
      <c r="AB525" s="38"/>
      <c r="AC525" s="38"/>
    </row>
    <row r="526" spans="1:29" ht="12.75">
      <c r="A526" s="38"/>
      <c r="B526" s="38"/>
      <c r="C526" s="40"/>
      <c r="D526" s="41"/>
      <c r="E526" s="40"/>
      <c r="F526" s="41"/>
      <c r="G526" s="40"/>
      <c r="H526" s="41"/>
      <c r="I526" s="39"/>
      <c r="J526" s="39"/>
      <c r="K526" s="40"/>
      <c r="L526" s="41"/>
      <c r="M526" s="38"/>
      <c r="N526" s="15"/>
      <c r="O526" s="15"/>
      <c r="P526" s="15"/>
      <c r="Q526" s="15"/>
      <c r="R526" s="16"/>
      <c r="S526" s="38"/>
      <c r="T526" s="38"/>
      <c r="U526" s="38"/>
      <c r="V526" s="38"/>
      <c r="W526" s="38"/>
      <c r="X526" s="38"/>
      <c r="Y526" s="38"/>
      <c r="Z526" s="38"/>
      <c r="AA526" s="38"/>
      <c r="AB526" s="38"/>
      <c r="AC526" s="38"/>
    </row>
    <row r="527" spans="1:29" ht="12.75">
      <c r="A527" s="38"/>
      <c r="B527" s="38"/>
      <c r="C527" s="40"/>
      <c r="D527" s="41"/>
      <c r="E527" s="40"/>
      <c r="F527" s="41"/>
      <c r="G527" s="40"/>
      <c r="H527" s="41"/>
      <c r="I527" s="39"/>
      <c r="J527" s="39"/>
      <c r="K527" s="40"/>
      <c r="L527" s="41"/>
      <c r="M527" s="38"/>
      <c r="N527" s="15"/>
      <c r="O527" s="15"/>
      <c r="P527" s="15"/>
      <c r="Q527" s="15"/>
      <c r="R527" s="16"/>
      <c r="S527" s="38"/>
      <c r="T527" s="38"/>
      <c r="U527" s="38"/>
      <c r="V527" s="38"/>
      <c r="W527" s="38"/>
      <c r="X527" s="38"/>
      <c r="Y527" s="38"/>
      <c r="Z527" s="38"/>
      <c r="AA527" s="38"/>
      <c r="AB527" s="38"/>
      <c r="AC527" s="38"/>
    </row>
    <row r="528" spans="1:29" ht="12.75">
      <c r="A528" s="38"/>
      <c r="B528" s="38"/>
      <c r="C528" s="40"/>
      <c r="D528" s="41"/>
      <c r="E528" s="40"/>
      <c r="F528" s="41"/>
      <c r="G528" s="40"/>
      <c r="H528" s="41"/>
      <c r="I528" s="39"/>
      <c r="J528" s="39"/>
      <c r="K528" s="40"/>
      <c r="L528" s="41"/>
      <c r="M528" s="38"/>
      <c r="N528" s="15"/>
      <c r="O528" s="15"/>
      <c r="P528" s="15"/>
      <c r="Q528" s="15"/>
      <c r="R528" s="16"/>
      <c r="S528" s="38"/>
      <c r="T528" s="38"/>
      <c r="U528" s="38"/>
      <c r="V528" s="38"/>
      <c r="W528" s="38"/>
      <c r="X528" s="38"/>
      <c r="Y528" s="38"/>
      <c r="Z528" s="38"/>
      <c r="AA528" s="38"/>
      <c r="AB528" s="38"/>
      <c r="AC528" s="38"/>
    </row>
    <row r="529" spans="1:29" ht="12.75">
      <c r="A529" s="38"/>
      <c r="B529" s="38"/>
      <c r="C529" s="40"/>
      <c r="D529" s="41"/>
      <c r="E529" s="40"/>
      <c r="F529" s="41"/>
      <c r="G529" s="40"/>
      <c r="H529" s="41"/>
      <c r="I529" s="39"/>
      <c r="J529" s="39"/>
      <c r="K529" s="40"/>
      <c r="L529" s="41"/>
      <c r="M529" s="38"/>
      <c r="N529" s="15"/>
      <c r="O529" s="15"/>
      <c r="P529" s="15"/>
      <c r="Q529" s="15"/>
      <c r="R529" s="16"/>
      <c r="S529" s="38"/>
      <c r="T529" s="38"/>
      <c r="U529" s="38"/>
      <c r="V529" s="38"/>
      <c r="W529" s="38"/>
      <c r="X529" s="38"/>
      <c r="Y529" s="38"/>
      <c r="Z529" s="38"/>
      <c r="AA529" s="38"/>
      <c r="AB529" s="38"/>
      <c r="AC529" s="38"/>
    </row>
    <row r="530" spans="1:29" ht="12.75">
      <c r="A530" s="38"/>
      <c r="B530" s="38"/>
      <c r="C530" s="40"/>
      <c r="D530" s="41"/>
      <c r="E530" s="40"/>
      <c r="F530" s="41"/>
      <c r="G530" s="40"/>
      <c r="H530" s="41"/>
      <c r="I530" s="39"/>
      <c r="J530" s="39"/>
      <c r="K530" s="40"/>
      <c r="L530" s="41"/>
      <c r="M530" s="38"/>
      <c r="N530" s="15"/>
      <c r="O530" s="15"/>
      <c r="P530" s="15"/>
      <c r="Q530" s="15"/>
      <c r="R530" s="16"/>
      <c r="S530" s="38"/>
      <c r="T530" s="38"/>
      <c r="U530" s="38"/>
      <c r="V530" s="38"/>
      <c r="W530" s="38"/>
      <c r="X530" s="38"/>
      <c r="Y530" s="38"/>
      <c r="Z530" s="38"/>
      <c r="AA530" s="38"/>
      <c r="AB530" s="38"/>
      <c r="AC530" s="38"/>
    </row>
    <row r="531" spans="1:29" ht="12.75">
      <c r="A531" s="38"/>
      <c r="B531" s="38"/>
      <c r="C531" s="40"/>
      <c r="D531" s="41"/>
      <c r="E531" s="40"/>
      <c r="F531" s="41"/>
      <c r="G531" s="40"/>
      <c r="H531" s="41"/>
      <c r="I531" s="39"/>
      <c r="J531" s="39"/>
      <c r="K531" s="40"/>
      <c r="L531" s="41"/>
      <c r="M531" s="38"/>
      <c r="N531" s="15"/>
      <c r="O531" s="15"/>
      <c r="P531" s="15"/>
      <c r="Q531" s="15"/>
      <c r="R531" s="16"/>
      <c r="S531" s="38"/>
      <c r="T531" s="38"/>
      <c r="U531" s="38"/>
      <c r="V531" s="38"/>
      <c r="W531" s="38"/>
      <c r="X531" s="38"/>
      <c r="Y531" s="38"/>
      <c r="Z531" s="38"/>
      <c r="AA531" s="38"/>
      <c r="AB531" s="38"/>
      <c r="AC531" s="38"/>
    </row>
    <row r="532" spans="1:29" ht="12.75">
      <c r="A532" s="38"/>
      <c r="B532" s="38"/>
      <c r="C532" s="40"/>
      <c r="D532" s="41"/>
      <c r="E532" s="40"/>
      <c r="F532" s="41"/>
      <c r="G532" s="40"/>
      <c r="H532" s="41"/>
      <c r="I532" s="39"/>
      <c r="J532" s="39"/>
      <c r="K532" s="40"/>
      <c r="L532" s="41"/>
      <c r="M532" s="38"/>
      <c r="N532" s="15"/>
      <c r="O532" s="15"/>
      <c r="P532" s="15"/>
      <c r="Q532" s="15"/>
      <c r="R532" s="16"/>
      <c r="S532" s="38"/>
      <c r="T532" s="38"/>
      <c r="U532" s="38"/>
      <c r="V532" s="38"/>
      <c r="W532" s="38"/>
      <c r="X532" s="38"/>
      <c r="Y532" s="38"/>
      <c r="Z532" s="38"/>
      <c r="AA532" s="38"/>
      <c r="AB532" s="38"/>
      <c r="AC532" s="38"/>
    </row>
    <row r="533" spans="1:29" ht="12.75">
      <c r="A533" s="38"/>
      <c r="B533" s="38"/>
      <c r="C533" s="40"/>
      <c r="D533" s="41"/>
      <c r="E533" s="40"/>
      <c r="F533" s="41"/>
      <c r="G533" s="40"/>
      <c r="H533" s="41"/>
      <c r="I533" s="39"/>
      <c r="J533" s="39"/>
      <c r="K533" s="40"/>
      <c r="L533" s="41"/>
      <c r="M533" s="38"/>
      <c r="N533" s="15"/>
      <c r="O533" s="15"/>
      <c r="P533" s="15"/>
      <c r="Q533" s="15"/>
      <c r="R533" s="16"/>
      <c r="S533" s="38"/>
      <c r="T533" s="38"/>
      <c r="U533" s="38"/>
      <c r="V533" s="38"/>
      <c r="W533" s="38"/>
      <c r="X533" s="38"/>
      <c r="Y533" s="38"/>
      <c r="Z533" s="38"/>
      <c r="AA533" s="38"/>
      <c r="AB533" s="38"/>
      <c r="AC533" s="38"/>
    </row>
    <row r="534" spans="1:29" ht="12.75">
      <c r="A534" s="38"/>
      <c r="B534" s="38"/>
      <c r="C534" s="40"/>
      <c r="D534" s="41"/>
      <c r="E534" s="40"/>
      <c r="F534" s="41"/>
      <c r="G534" s="40"/>
      <c r="H534" s="41"/>
      <c r="I534" s="39"/>
      <c r="J534" s="39"/>
      <c r="K534" s="40"/>
      <c r="L534" s="41"/>
      <c r="M534" s="38"/>
      <c r="N534" s="15"/>
      <c r="O534" s="15"/>
      <c r="P534" s="15"/>
      <c r="Q534" s="15"/>
      <c r="R534" s="16"/>
      <c r="S534" s="38"/>
      <c r="T534" s="38"/>
      <c r="U534" s="38"/>
      <c r="V534" s="38"/>
      <c r="W534" s="38"/>
      <c r="X534" s="38"/>
      <c r="Y534" s="38"/>
      <c r="Z534" s="38"/>
      <c r="AA534" s="38"/>
      <c r="AB534" s="38"/>
      <c r="AC534" s="38"/>
    </row>
    <row r="535" spans="1:29" ht="12.75">
      <c r="A535" s="38"/>
      <c r="B535" s="38"/>
      <c r="C535" s="40"/>
      <c r="D535" s="41"/>
      <c r="E535" s="40"/>
      <c r="F535" s="41"/>
      <c r="G535" s="40"/>
      <c r="H535" s="41"/>
      <c r="I535" s="39"/>
      <c r="J535" s="39"/>
      <c r="K535" s="40"/>
      <c r="L535" s="41"/>
      <c r="M535" s="38"/>
      <c r="N535" s="15"/>
      <c r="O535" s="15"/>
      <c r="P535" s="15"/>
      <c r="Q535" s="15"/>
      <c r="R535" s="16"/>
      <c r="S535" s="38"/>
      <c r="T535" s="38"/>
      <c r="U535" s="38"/>
      <c r="V535" s="38"/>
      <c r="W535" s="38"/>
      <c r="X535" s="38"/>
      <c r="Y535" s="38"/>
      <c r="Z535" s="38"/>
      <c r="AA535" s="38"/>
      <c r="AB535" s="38"/>
      <c r="AC535" s="38"/>
    </row>
    <row r="536" spans="1:29" ht="12.75">
      <c r="A536" s="38"/>
      <c r="B536" s="38"/>
      <c r="C536" s="40"/>
      <c r="D536" s="41"/>
      <c r="E536" s="40"/>
      <c r="F536" s="41"/>
      <c r="G536" s="40"/>
      <c r="H536" s="41"/>
      <c r="I536" s="39"/>
      <c r="J536" s="39"/>
      <c r="K536" s="40"/>
      <c r="L536" s="41"/>
      <c r="M536" s="38"/>
      <c r="N536" s="15"/>
      <c r="O536" s="15"/>
      <c r="P536" s="15"/>
      <c r="Q536" s="15"/>
      <c r="R536" s="16"/>
      <c r="S536" s="38"/>
      <c r="T536" s="38"/>
      <c r="U536" s="38"/>
      <c r="V536" s="38"/>
      <c r="W536" s="38"/>
      <c r="X536" s="38"/>
      <c r="Y536" s="38"/>
      <c r="Z536" s="38"/>
      <c r="AA536" s="38"/>
      <c r="AB536" s="38"/>
      <c r="AC536" s="38"/>
    </row>
    <row r="537" spans="1:29" ht="12.75">
      <c r="A537" s="38"/>
      <c r="B537" s="38"/>
      <c r="C537" s="40"/>
      <c r="D537" s="41"/>
      <c r="E537" s="40"/>
      <c r="F537" s="41"/>
      <c r="G537" s="40"/>
      <c r="H537" s="41"/>
      <c r="I537" s="39"/>
      <c r="J537" s="39"/>
      <c r="K537" s="40"/>
      <c r="L537" s="41"/>
      <c r="M537" s="38"/>
      <c r="N537" s="15"/>
      <c r="O537" s="15"/>
      <c r="P537" s="15"/>
      <c r="Q537" s="15"/>
      <c r="R537" s="16"/>
      <c r="S537" s="38"/>
      <c r="T537" s="38"/>
      <c r="U537" s="38"/>
      <c r="V537" s="38"/>
      <c r="W537" s="38"/>
      <c r="X537" s="38"/>
      <c r="Y537" s="38"/>
      <c r="Z537" s="38"/>
      <c r="AA537" s="38"/>
      <c r="AB537" s="38"/>
      <c r="AC537" s="38"/>
    </row>
    <row r="538" spans="1:29" ht="12.75">
      <c r="A538" s="38"/>
      <c r="B538" s="38"/>
      <c r="C538" s="40"/>
      <c r="D538" s="41"/>
      <c r="E538" s="40"/>
      <c r="F538" s="41"/>
      <c r="G538" s="40"/>
      <c r="H538" s="41"/>
      <c r="I538" s="39"/>
      <c r="J538" s="39"/>
      <c r="K538" s="40"/>
      <c r="L538" s="41"/>
      <c r="M538" s="38"/>
      <c r="N538" s="15"/>
      <c r="O538" s="15"/>
      <c r="P538" s="15"/>
      <c r="Q538" s="15"/>
      <c r="R538" s="16"/>
      <c r="S538" s="38"/>
      <c r="T538" s="38"/>
      <c r="U538" s="38"/>
      <c r="V538" s="38"/>
      <c r="W538" s="38"/>
      <c r="X538" s="38"/>
      <c r="Y538" s="38"/>
      <c r="Z538" s="38"/>
      <c r="AA538" s="38"/>
      <c r="AB538" s="38"/>
      <c r="AC538" s="38"/>
    </row>
    <row r="539" spans="1:29" ht="12.75">
      <c r="A539" s="38"/>
      <c r="B539" s="38"/>
      <c r="C539" s="40"/>
      <c r="D539" s="41"/>
      <c r="E539" s="40"/>
      <c r="F539" s="41"/>
      <c r="G539" s="40"/>
      <c r="H539" s="41"/>
      <c r="I539" s="39"/>
      <c r="J539" s="39"/>
      <c r="K539" s="40"/>
      <c r="L539" s="41"/>
      <c r="M539" s="38"/>
      <c r="N539" s="15"/>
      <c r="O539" s="15"/>
      <c r="P539" s="15"/>
      <c r="Q539" s="15"/>
      <c r="R539" s="16"/>
      <c r="S539" s="38"/>
      <c r="T539" s="38"/>
      <c r="U539" s="38"/>
      <c r="V539" s="38"/>
      <c r="W539" s="38"/>
      <c r="X539" s="38"/>
      <c r="Y539" s="38"/>
      <c r="Z539" s="38"/>
      <c r="AA539" s="38"/>
      <c r="AB539" s="38"/>
      <c r="AC539" s="38"/>
    </row>
    <row r="540" spans="1:29" ht="12.75">
      <c r="A540" s="38"/>
      <c r="B540" s="38"/>
      <c r="C540" s="40"/>
      <c r="D540" s="41"/>
      <c r="E540" s="40"/>
      <c r="F540" s="41"/>
      <c r="G540" s="40"/>
      <c r="H540" s="41"/>
      <c r="I540" s="39"/>
      <c r="J540" s="39"/>
      <c r="K540" s="40"/>
      <c r="L540" s="41"/>
      <c r="M540" s="38"/>
      <c r="N540" s="15"/>
      <c r="O540" s="15"/>
      <c r="P540" s="15"/>
      <c r="Q540" s="15"/>
      <c r="R540" s="16"/>
      <c r="S540" s="38"/>
      <c r="T540" s="38"/>
      <c r="U540" s="38"/>
      <c r="V540" s="38"/>
      <c r="W540" s="38"/>
      <c r="X540" s="38"/>
      <c r="Y540" s="38"/>
      <c r="Z540" s="38"/>
      <c r="AA540" s="38"/>
      <c r="AB540" s="38"/>
      <c r="AC540" s="38"/>
    </row>
    <row r="541" spans="1:29" ht="12.75">
      <c r="A541" s="38"/>
      <c r="B541" s="38"/>
      <c r="C541" s="40"/>
      <c r="D541" s="41"/>
      <c r="E541" s="40"/>
      <c r="F541" s="41"/>
      <c r="G541" s="40"/>
      <c r="H541" s="41"/>
      <c r="I541" s="39"/>
      <c r="J541" s="39"/>
      <c r="K541" s="40"/>
      <c r="L541" s="41"/>
      <c r="M541" s="38"/>
      <c r="N541" s="15"/>
      <c r="O541" s="15"/>
      <c r="P541" s="15"/>
      <c r="Q541" s="15"/>
      <c r="R541" s="16"/>
      <c r="S541" s="38"/>
      <c r="T541" s="38"/>
      <c r="U541" s="38"/>
      <c r="V541" s="38"/>
      <c r="W541" s="38"/>
      <c r="X541" s="38"/>
      <c r="Y541" s="38"/>
      <c r="Z541" s="38"/>
      <c r="AA541" s="38"/>
      <c r="AB541" s="38"/>
      <c r="AC541" s="38"/>
    </row>
    <row r="542" spans="1:29" ht="12.75">
      <c r="A542" s="38"/>
      <c r="B542" s="38"/>
      <c r="C542" s="40"/>
      <c r="D542" s="41"/>
      <c r="E542" s="40"/>
      <c r="F542" s="41"/>
      <c r="G542" s="40"/>
      <c r="H542" s="41"/>
      <c r="I542" s="39"/>
      <c r="J542" s="39"/>
      <c r="K542" s="40"/>
      <c r="L542" s="41"/>
      <c r="M542" s="38"/>
      <c r="N542" s="15"/>
      <c r="O542" s="15"/>
      <c r="P542" s="15"/>
      <c r="Q542" s="15"/>
      <c r="R542" s="16"/>
      <c r="S542" s="38"/>
      <c r="T542" s="38"/>
      <c r="U542" s="38"/>
      <c r="V542" s="38"/>
      <c r="W542" s="38"/>
      <c r="X542" s="38"/>
      <c r="Y542" s="38"/>
      <c r="Z542" s="38"/>
      <c r="AA542" s="38"/>
      <c r="AB542" s="38"/>
      <c r="AC542" s="38"/>
    </row>
    <row r="543" spans="1:29" ht="12.75">
      <c r="A543" s="38"/>
      <c r="B543" s="38"/>
      <c r="C543" s="40"/>
      <c r="D543" s="41"/>
      <c r="E543" s="40"/>
      <c r="F543" s="41"/>
      <c r="G543" s="40"/>
      <c r="H543" s="41"/>
      <c r="I543" s="39"/>
      <c r="J543" s="39"/>
      <c r="K543" s="40"/>
      <c r="L543" s="41"/>
      <c r="M543" s="38"/>
      <c r="N543" s="15"/>
      <c r="O543" s="15"/>
      <c r="P543" s="15"/>
      <c r="Q543" s="15"/>
      <c r="R543" s="16"/>
      <c r="S543" s="38"/>
      <c r="T543" s="38"/>
      <c r="U543" s="38"/>
      <c r="V543" s="38"/>
      <c r="W543" s="38"/>
      <c r="X543" s="38"/>
      <c r="Y543" s="38"/>
      <c r="Z543" s="38"/>
      <c r="AA543" s="38"/>
      <c r="AB543" s="38"/>
      <c r="AC543" s="38"/>
    </row>
    <row r="544" spans="1:29" ht="12.75">
      <c r="A544" s="38"/>
      <c r="B544" s="38"/>
      <c r="C544" s="40"/>
      <c r="D544" s="41"/>
      <c r="E544" s="40"/>
      <c r="F544" s="41"/>
      <c r="G544" s="40"/>
      <c r="H544" s="41"/>
      <c r="I544" s="39"/>
      <c r="J544" s="39"/>
      <c r="K544" s="40"/>
      <c r="L544" s="41"/>
      <c r="M544" s="38"/>
      <c r="N544" s="15"/>
      <c r="O544" s="15"/>
      <c r="P544" s="15"/>
      <c r="Q544" s="15"/>
      <c r="R544" s="16"/>
      <c r="S544" s="38"/>
      <c r="T544" s="38"/>
      <c r="U544" s="38"/>
      <c r="V544" s="38"/>
      <c r="W544" s="38"/>
      <c r="X544" s="38"/>
      <c r="Y544" s="38"/>
      <c r="Z544" s="38"/>
      <c r="AA544" s="38"/>
      <c r="AB544" s="38"/>
      <c r="AC544" s="38"/>
    </row>
    <row r="545" spans="1:29" ht="12.75">
      <c r="A545" s="38"/>
      <c r="B545" s="38"/>
      <c r="C545" s="40"/>
      <c r="D545" s="41"/>
      <c r="E545" s="40"/>
      <c r="F545" s="41"/>
      <c r="G545" s="40"/>
      <c r="H545" s="41"/>
      <c r="I545" s="39"/>
      <c r="J545" s="39"/>
      <c r="K545" s="40"/>
      <c r="L545" s="41"/>
      <c r="M545" s="38"/>
      <c r="N545" s="15"/>
      <c r="O545" s="15"/>
      <c r="P545" s="15"/>
      <c r="Q545" s="15"/>
      <c r="R545" s="16"/>
      <c r="S545" s="38"/>
      <c r="T545" s="38"/>
      <c r="U545" s="38"/>
      <c r="V545" s="38"/>
      <c r="W545" s="38"/>
      <c r="X545" s="38"/>
      <c r="Y545" s="38"/>
      <c r="Z545" s="38"/>
      <c r="AA545" s="38"/>
      <c r="AB545" s="38"/>
      <c r="AC545" s="38"/>
    </row>
    <row r="546" spans="1:29" ht="12.75">
      <c r="A546" s="38"/>
      <c r="B546" s="38"/>
      <c r="C546" s="40"/>
      <c r="D546" s="41"/>
      <c r="E546" s="40"/>
      <c r="F546" s="41"/>
      <c r="G546" s="40"/>
      <c r="H546" s="41"/>
      <c r="I546" s="39"/>
      <c r="J546" s="39"/>
      <c r="K546" s="40"/>
      <c r="L546" s="41"/>
      <c r="M546" s="38"/>
      <c r="N546" s="15"/>
      <c r="O546" s="15"/>
      <c r="P546" s="15"/>
      <c r="Q546" s="15"/>
      <c r="R546" s="16"/>
      <c r="S546" s="38"/>
      <c r="T546" s="38"/>
      <c r="U546" s="38"/>
      <c r="V546" s="38"/>
      <c r="W546" s="38"/>
      <c r="X546" s="38"/>
      <c r="Y546" s="38"/>
      <c r="Z546" s="38"/>
      <c r="AA546" s="38"/>
      <c r="AB546" s="38"/>
      <c r="AC546" s="38"/>
    </row>
    <row r="547" spans="1:29" ht="12.75">
      <c r="A547" s="38"/>
      <c r="B547" s="38"/>
      <c r="C547" s="40"/>
      <c r="D547" s="41"/>
      <c r="E547" s="40"/>
      <c r="F547" s="41"/>
      <c r="G547" s="40"/>
      <c r="H547" s="41"/>
      <c r="I547" s="39"/>
      <c r="J547" s="39"/>
      <c r="K547" s="40"/>
      <c r="L547" s="41"/>
      <c r="M547" s="38"/>
      <c r="N547" s="15"/>
      <c r="O547" s="15"/>
      <c r="P547" s="15"/>
      <c r="Q547" s="15"/>
      <c r="R547" s="16"/>
      <c r="S547" s="38"/>
      <c r="T547" s="38"/>
      <c r="U547" s="38"/>
      <c r="V547" s="38"/>
      <c r="W547" s="38"/>
      <c r="X547" s="38"/>
      <c r="Y547" s="38"/>
      <c r="Z547" s="38"/>
      <c r="AA547" s="38"/>
      <c r="AB547" s="38"/>
      <c r="AC547" s="38"/>
    </row>
    <row r="548" spans="1:29" ht="12.75">
      <c r="A548" s="38"/>
      <c r="B548" s="38"/>
      <c r="C548" s="40"/>
      <c r="D548" s="41"/>
      <c r="E548" s="40"/>
      <c r="F548" s="41"/>
      <c r="G548" s="40"/>
      <c r="H548" s="41"/>
      <c r="I548" s="39"/>
      <c r="J548" s="39"/>
      <c r="K548" s="40"/>
      <c r="L548" s="41"/>
      <c r="M548" s="38"/>
      <c r="N548" s="15"/>
      <c r="O548" s="15"/>
      <c r="P548" s="15"/>
      <c r="Q548" s="15"/>
      <c r="R548" s="16"/>
      <c r="S548" s="38"/>
      <c r="T548" s="38"/>
      <c r="U548" s="38"/>
      <c r="V548" s="38"/>
      <c r="W548" s="38"/>
      <c r="X548" s="38"/>
      <c r="Y548" s="38"/>
      <c r="Z548" s="38"/>
      <c r="AA548" s="38"/>
      <c r="AB548" s="38"/>
      <c r="AC548" s="38"/>
    </row>
    <row r="549" spans="1:29" ht="12.75">
      <c r="A549" s="38"/>
      <c r="B549" s="38"/>
      <c r="C549" s="40"/>
      <c r="D549" s="41"/>
      <c r="E549" s="40"/>
      <c r="F549" s="41"/>
      <c r="G549" s="40"/>
      <c r="H549" s="41"/>
      <c r="I549" s="39"/>
      <c r="J549" s="39"/>
      <c r="K549" s="40"/>
      <c r="L549" s="41"/>
      <c r="M549" s="38"/>
      <c r="N549" s="15"/>
      <c r="O549" s="15"/>
      <c r="P549" s="15"/>
      <c r="Q549" s="15"/>
      <c r="R549" s="16"/>
      <c r="S549" s="38"/>
      <c r="T549" s="38"/>
      <c r="U549" s="38"/>
      <c r="V549" s="38"/>
      <c r="W549" s="38"/>
      <c r="X549" s="38"/>
      <c r="Y549" s="38"/>
      <c r="Z549" s="38"/>
      <c r="AA549" s="38"/>
      <c r="AB549" s="38"/>
      <c r="AC549" s="38"/>
    </row>
    <row r="550" spans="1:29" ht="12.75">
      <c r="A550" s="38"/>
      <c r="B550" s="38"/>
      <c r="C550" s="40"/>
      <c r="D550" s="41"/>
      <c r="E550" s="40"/>
      <c r="F550" s="41"/>
      <c r="G550" s="40"/>
      <c r="H550" s="41"/>
      <c r="I550" s="39"/>
      <c r="J550" s="39"/>
      <c r="K550" s="40"/>
      <c r="L550" s="41"/>
      <c r="M550" s="38"/>
      <c r="N550" s="15"/>
      <c r="O550" s="15"/>
      <c r="P550" s="15"/>
      <c r="Q550" s="15"/>
      <c r="R550" s="16"/>
      <c r="S550" s="38"/>
      <c r="T550" s="38"/>
      <c r="U550" s="38"/>
      <c r="V550" s="38"/>
      <c r="W550" s="38"/>
      <c r="X550" s="38"/>
      <c r="Y550" s="38"/>
      <c r="Z550" s="38"/>
      <c r="AA550" s="38"/>
      <c r="AB550" s="38"/>
      <c r="AC550" s="38"/>
    </row>
    <row r="551" spans="1:29" ht="12.75">
      <c r="A551" s="38"/>
      <c r="B551" s="38"/>
      <c r="C551" s="40"/>
      <c r="D551" s="41"/>
      <c r="E551" s="40"/>
      <c r="F551" s="41"/>
      <c r="G551" s="40"/>
      <c r="H551" s="41"/>
      <c r="I551" s="39"/>
      <c r="J551" s="39"/>
      <c r="K551" s="40"/>
      <c r="L551" s="41"/>
      <c r="M551" s="38"/>
      <c r="N551" s="15"/>
      <c r="O551" s="15"/>
      <c r="P551" s="15"/>
      <c r="Q551" s="15"/>
      <c r="R551" s="16"/>
      <c r="S551" s="38"/>
      <c r="T551" s="38"/>
      <c r="U551" s="38"/>
      <c r="V551" s="38"/>
      <c r="W551" s="38"/>
      <c r="X551" s="38"/>
      <c r="Y551" s="38"/>
      <c r="Z551" s="38"/>
      <c r="AA551" s="38"/>
      <c r="AB551" s="38"/>
      <c r="AC551" s="38"/>
    </row>
    <row r="552" spans="1:29" ht="12.75">
      <c r="A552" s="38"/>
      <c r="B552" s="38"/>
      <c r="C552" s="40"/>
      <c r="D552" s="41"/>
      <c r="E552" s="40"/>
      <c r="F552" s="41"/>
      <c r="G552" s="40"/>
      <c r="H552" s="41"/>
      <c r="I552" s="39"/>
      <c r="J552" s="39"/>
      <c r="K552" s="40"/>
      <c r="L552" s="41"/>
      <c r="M552" s="38"/>
      <c r="N552" s="15"/>
      <c r="O552" s="15"/>
      <c r="P552" s="15"/>
      <c r="Q552" s="15"/>
      <c r="R552" s="16"/>
      <c r="S552" s="38"/>
      <c r="T552" s="38"/>
      <c r="U552" s="38"/>
      <c r="V552" s="38"/>
      <c r="W552" s="38"/>
      <c r="X552" s="38"/>
      <c r="Y552" s="38"/>
      <c r="Z552" s="38"/>
      <c r="AA552" s="38"/>
      <c r="AB552" s="38"/>
      <c r="AC552" s="38"/>
    </row>
    <row r="553" spans="1:29" ht="12.75">
      <c r="A553" s="38"/>
      <c r="B553" s="38"/>
      <c r="C553" s="40"/>
      <c r="D553" s="41"/>
      <c r="E553" s="40"/>
      <c r="F553" s="41"/>
      <c r="G553" s="40"/>
      <c r="H553" s="41"/>
      <c r="I553" s="39"/>
      <c r="J553" s="39"/>
      <c r="K553" s="40"/>
      <c r="L553" s="41"/>
      <c r="M553" s="38"/>
      <c r="N553" s="15"/>
      <c r="O553" s="15"/>
      <c r="P553" s="15"/>
      <c r="Q553" s="15"/>
      <c r="R553" s="16"/>
      <c r="S553" s="38"/>
      <c r="T553" s="38"/>
      <c r="U553" s="38"/>
      <c r="V553" s="38"/>
      <c r="W553" s="38"/>
      <c r="X553" s="38"/>
      <c r="Y553" s="38"/>
      <c r="Z553" s="38"/>
      <c r="AA553" s="38"/>
      <c r="AB553" s="38"/>
      <c r="AC553" s="38"/>
    </row>
    <row r="554" spans="1:29" ht="12.75">
      <c r="A554" s="38"/>
      <c r="B554" s="38"/>
      <c r="C554" s="40"/>
      <c r="D554" s="41"/>
      <c r="E554" s="40"/>
      <c r="F554" s="41"/>
      <c r="G554" s="40"/>
      <c r="H554" s="41"/>
      <c r="I554" s="39"/>
      <c r="J554" s="39"/>
      <c r="K554" s="40"/>
      <c r="L554" s="41"/>
      <c r="M554" s="38"/>
      <c r="N554" s="15"/>
      <c r="O554" s="15"/>
      <c r="P554" s="15"/>
      <c r="Q554" s="15"/>
      <c r="R554" s="16"/>
      <c r="S554" s="38"/>
      <c r="T554" s="38"/>
      <c r="U554" s="38"/>
      <c r="V554" s="38"/>
      <c r="W554" s="38"/>
      <c r="X554" s="38"/>
      <c r="Y554" s="38"/>
      <c r="Z554" s="38"/>
      <c r="AA554" s="38"/>
      <c r="AB554" s="38"/>
      <c r="AC554" s="38"/>
    </row>
    <row r="555" spans="1:29" ht="12.75">
      <c r="A555" s="38"/>
      <c r="B555" s="38"/>
      <c r="C555" s="40"/>
      <c r="D555" s="41"/>
      <c r="E555" s="40"/>
      <c r="F555" s="41"/>
      <c r="G555" s="40"/>
      <c r="H555" s="41"/>
      <c r="I555" s="39"/>
      <c r="J555" s="39"/>
      <c r="K555" s="40"/>
      <c r="L555" s="41"/>
      <c r="M555" s="38"/>
      <c r="N555" s="15"/>
      <c r="O555" s="15"/>
      <c r="P555" s="15"/>
      <c r="Q555" s="15"/>
      <c r="R555" s="16"/>
      <c r="S555" s="38"/>
      <c r="T555" s="38"/>
      <c r="U555" s="38"/>
      <c r="V555" s="38"/>
      <c r="W555" s="38"/>
      <c r="X555" s="38"/>
      <c r="Y555" s="38"/>
      <c r="Z555" s="38"/>
      <c r="AA555" s="38"/>
      <c r="AB555" s="38"/>
      <c r="AC555" s="38"/>
    </row>
    <row r="556" spans="1:29" ht="12.75">
      <c r="A556" s="38"/>
      <c r="B556" s="38"/>
      <c r="C556" s="40"/>
      <c r="D556" s="41"/>
      <c r="E556" s="40"/>
      <c r="F556" s="41"/>
      <c r="G556" s="40"/>
      <c r="H556" s="41"/>
      <c r="I556" s="39"/>
      <c r="J556" s="39"/>
      <c r="K556" s="40"/>
      <c r="L556" s="41"/>
      <c r="M556" s="38"/>
      <c r="N556" s="15"/>
      <c r="O556" s="15"/>
      <c r="P556" s="15"/>
      <c r="Q556" s="15"/>
      <c r="R556" s="16"/>
      <c r="S556" s="38"/>
      <c r="T556" s="38"/>
      <c r="U556" s="38"/>
      <c r="V556" s="38"/>
      <c r="W556" s="38"/>
      <c r="X556" s="38"/>
      <c r="Y556" s="38"/>
      <c r="Z556" s="38"/>
      <c r="AA556" s="38"/>
      <c r="AB556" s="38"/>
      <c r="AC556" s="38"/>
    </row>
    <row r="557" spans="1:29" ht="12.75">
      <c r="A557" s="38"/>
      <c r="B557" s="38"/>
      <c r="C557" s="40"/>
      <c r="D557" s="41"/>
      <c r="E557" s="40"/>
      <c r="F557" s="41"/>
      <c r="G557" s="40"/>
      <c r="H557" s="41"/>
      <c r="I557" s="39"/>
      <c r="J557" s="39"/>
      <c r="K557" s="40"/>
      <c r="L557" s="41"/>
      <c r="M557" s="38"/>
      <c r="N557" s="15"/>
      <c r="O557" s="15"/>
      <c r="P557" s="15"/>
      <c r="Q557" s="15"/>
      <c r="R557" s="16"/>
      <c r="S557" s="38"/>
      <c r="T557" s="38"/>
      <c r="U557" s="38"/>
      <c r="V557" s="38"/>
      <c r="W557" s="38"/>
      <c r="X557" s="38"/>
      <c r="Y557" s="38"/>
      <c r="Z557" s="38"/>
      <c r="AA557" s="38"/>
      <c r="AB557" s="38"/>
      <c r="AC557" s="38"/>
    </row>
    <row r="558" spans="1:29" ht="12.75">
      <c r="A558" s="38"/>
      <c r="B558" s="38"/>
      <c r="C558" s="40"/>
      <c r="D558" s="41"/>
      <c r="E558" s="40"/>
      <c r="F558" s="41"/>
      <c r="G558" s="40"/>
      <c r="H558" s="41"/>
      <c r="I558" s="39"/>
      <c r="J558" s="39"/>
      <c r="K558" s="40"/>
      <c r="L558" s="41"/>
      <c r="M558" s="38"/>
      <c r="N558" s="15"/>
      <c r="O558" s="15"/>
      <c r="P558" s="15"/>
      <c r="Q558" s="15"/>
      <c r="R558" s="16"/>
      <c r="S558" s="38"/>
      <c r="T558" s="38"/>
      <c r="U558" s="38"/>
      <c r="V558" s="38"/>
      <c r="W558" s="38"/>
      <c r="X558" s="38"/>
      <c r="Y558" s="38"/>
      <c r="Z558" s="38"/>
      <c r="AA558" s="38"/>
      <c r="AB558" s="38"/>
      <c r="AC558" s="38"/>
    </row>
    <row r="559" spans="1:29" ht="12.75">
      <c r="A559" s="38"/>
      <c r="B559" s="38"/>
      <c r="C559" s="40"/>
      <c r="D559" s="41"/>
      <c r="E559" s="40"/>
      <c r="F559" s="41"/>
      <c r="G559" s="40"/>
      <c r="H559" s="41"/>
      <c r="I559" s="39"/>
      <c r="J559" s="39"/>
      <c r="K559" s="40"/>
      <c r="L559" s="41"/>
      <c r="M559" s="38"/>
      <c r="N559" s="15"/>
      <c r="O559" s="15"/>
      <c r="P559" s="15"/>
      <c r="Q559" s="15"/>
      <c r="R559" s="16"/>
      <c r="S559" s="38"/>
      <c r="T559" s="38"/>
      <c r="U559" s="38"/>
      <c r="V559" s="38"/>
      <c r="W559" s="38"/>
      <c r="X559" s="38"/>
      <c r="Y559" s="38"/>
      <c r="Z559" s="38"/>
      <c r="AA559" s="38"/>
      <c r="AB559" s="38"/>
      <c r="AC559" s="38"/>
    </row>
    <row r="560" spans="1:29" ht="12.75">
      <c r="A560" s="38"/>
      <c r="B560" s="38"/>
      <c r="C560" s="40"/>
      <c r="D560" s="41"/>
      <c r="E560" s="40"/>
      <c r="F560" s="41"/>
      <c r="G560" s="40"/>
      <c r="H560" s="41"/>
      <c r="I560" s="39"/>
      <c r="J560" s="39"/>
      <c r="K560" s="40"/>
      <c r="L560" s="41"/>
      <c r="M560" s="38"/>
      <c r="N560" s="15"/>
      <c r="O560" s="15"/>
      <c r="P560" s="15"/>
      <c r="Q560" s="15"/>
      <c r="R560" s="16"/>
      <c r="S560" s="38"/>
      <c r="T560" s="38"/>
      <c r="U560" s="38"/>
      <c r="V560" s="38"/>
      <c r="W560" s="38"/>
      <c r="X560" s="38"/>
      <c r="Y560" s="38"/>
      <c r="Z560" s="38"/>
      <c r="AA560" s="38"/>
      <c r="AB560" s="38"/>
      <c r="AC560" s="38"/>
    </row>
    <row r="561" spans="1:29" ht="12.75">
      <c r="A561" s="38"/>
      <c r="B561" s="38"/>
      <c r="C561" s="40"/>
      <c r="D561" s="41"/>
      <c r="E561" s="40"/>
      <c r="F561" s="41"/>
      <c r="G561" s="40"/>
      <c r="H561" s="41"/>
      <c r="I561" s="39"/>
      <c r="J561" s="39"/>
      <c r="K561" s="40"/>
      <c r="L561" s="41"/>
      <c r="M561" s="38"/>
      <c r="N561" s="15"/>
      <c r="O561" s="15"/>
      <c r="P561" s="15"/>
      <c r="Q561" s="15"/>
      <c r="R561" s="16"/>
      <c r="S561" s="38"/>
      <c r="T561" s="38"/>
      <c r="U561" s="38"/>
      <c r="V561" s="38"/>
      <c r="W561" s="38"/>
      <c r="X561" s="38"/>
      <c r="Y561" s="38"/>
      <c r="Z561" s="38"/>
      <c r="AA561" s="38"/>
      <c r="AB561" s="38"/>
      <c r="AC561" s="38"/>
    </row>
    <row r="562" spans="1:29" ht="12.75">
      <c r="A562" s="38"/>
      <c r="B562" s="38"/>
      <c r="C562" s="40"/>
      <c r="D562" s="41"/>
      <c r="E562" s="40"/>
      <c r="F562" s="41"/>
      <c r="G562" s="40"/>
      <c r="H562" s="41"/>
      <c r="I562" s="39"/>
      <c r="J562" s="39"/>
      <c r="K562" s="40"/>
      <c r="L562" s="41"/>
      <c r="M562" s="38"/>
      <c r="N562" s="15"/>
      <c r="O562" s="15"/>
      <c r="P562" s="15"/>
      <c r="Q562" s="15"/>
      <c r="R562" s="16"/>
      <c r="S562" s="38"/>
      <c r="T562" s="38"/>
      <c r="U562" s="38"/>
      <c r="V562" s="38"/>
      <c r="W562" s="38"/>
      <c r="X562" s="38"/>
      <c r="Y562" s="38"/>
      <c r="Z562" s="38"/>
      <c r="AA562" s="38"/>
      <c r="AB562" s="38"/>
      <c r="AC562" s="38"/>
    </row>
    <row r="563" spans="1:29" ht="12.75">
      <c r="A563" s="38"/>
      <c r="B563" s="38"/>
      <c r="C563" s="40"/>
      <c r="D563" s="41"/>
      <c r="E563" s="40"/>
      <c r="F563" s="41"/>
      <c r="G563" s="40"/>
      <c r="H563" s="41"/>
      <c r="I563" s="39"/>
      <c r="J563" s="39"/>
      <c r="K563" s="40"/>
      <c r="L563" s="41"/>
      <c r="M563" s="38"/>
      <c r="N563" s="15"/>
      <c r="O563" s="15"/>
      <c r="P563" s="15"/>
      <c r="Q563" s="15"/>
      <c r="R563" s="16"/>
      <c r="S563" s="38"/>
      <c r="T563" s="38"/>
      <c r="U563" s="38"/>
      <c r="V563" s="38"/>
      <c r="W563" s="38"/>
      <c r="X563" s="38"/>
      <c r="Y563" s="38"/>
      <c r="Z563" s="38"/>
      <c r="AA563" s="38"/>
      <c r="AB563" s="38"/>
      <c r="AC563" s="38"/>
    </row>
    <row r="564" spans="1:29" ht="12.75">
      <c r="A564" s="38"/>
      <c r="B564" s="38"/>
      <c r="C564" s="40"/>
      <c r="D564" s="41"/>
      <c r="E564" s="40"/>
      <c r="F564" s="41"/>
      <c r="G564" s="40"/>
      <c r="H564" s="41"/>
      <c r="I564" s="39"/>
      <c r="J564" s="39"/>
      <c r="K564" s="40"/>
      <c r="L564" s="41"/>
      <c r="M564" s="38"/>
      <c r="N564" s="15"/>
      <c r="O564" s="15"/>
      <c r="P564" s="15"/>
      <c r="Q564" s="15"/>
      <c r="R564" s="16"/>
      <c r="S564" s="38"/>
      <c r="T564" s="38"/>
      <c r="U564" s="38"/>
      <c r="V564" s="38"/>
      <c r="W564" s="38"/>
      <c r="X564" s="38"/>
      <c r="Y564" s="38"/>
      <c r="Z564" s="38"/>
      <c r="AA564" s="38"/>
      <c r="AB564" s="38"/>
      <c r="AC564" s="38"/>
    </row>
    <row r="565" spans="1:29" ht="12.75">
      <c r="A565" s="38"/>
      <c r="B565" s="38"/>
      <c r="C565" s="40"/>
      <c r="D565" s="41"/>
      <c r="E565" s="40"/>
      <c r="F565" s="41"/>
      <c r="G565" s="40"/>
      <c r="H565" s="41"/>
      <c r="I565" s="39"/>
      <c r="J565" s="39"/>
      <c r="K565" s="40"/>
      <c r="L565" s="41"/>
      <c r="M565" s="38"/>
      <c r="N565" s="15"/>
      <c r="O565" s="15"/>
      <c r="P565" s="15"/>
      <c r="Q565" s="15"/>
      <c r="R565" s="16"/>
      <c r="S565" s="38"/>
      <c r="T565" s="38"/>
      <c r="U565" s="38"/>
      <c r="V565" s="38"/>
      <c r="W565" s="38"/>
      <c r="X565" s="38"/>
      <c r="Y565" s="38"/>
      <c r="Z565" s="38"/>
      <c r="AA565" s="38"/>
      <c r="AB565" s="38"/>
      <c r="AC565" s="38"/>
    </row>
    <row r="566" spans="1:29" ht="12.75">
      <c r="A566" s="38"/>
      <c r="B566" s="38"/>
      <c r="C566" s="40"/>
      <c r="D566" s="41"/>
      <c r="E566" s="40"/>
      <c r="F566" s="41"/>
      <c r="G566" s="40"/>
      <c r="H566" s="41"/>
      <c r="I566" s="39"/>
      <c r="J566" s="39"/>
      <c r="K566" s="40"/>
      <c r="L566" s="41"/>
      <c r="M566" s="38"/>
      <c r="N566" s="15"/>
      <c r="O566" s="15"/>
      <c r="P566" s="15"/>
      <c r="Q566" s="15"/>
      <c r="R566" s="16"/>
      <c r="S566" s="38"/>
      <c r="T566" s="38"/>
      <c r="U566" s="38"/>
      <c r="V566" s="38"/>
      <c r="W566" s="38"/>
      <c r="X566" s="38"/>
      <c r="Y566" s="38"/>
      <c r="Z566" s="38"/>
      <c r="AA566" s="38"/>
      <c r="AB566" s="38"/>
      <c r="AC566" s="38"/>
    </row>
    <row r="567" spans="1:29" ht="12.75">
      <c r="A567" s="38"/>
      <c r="B567" s="38"/>
      <c r="C567" s="40"/>
      <c r="D567" s="41"/>
      <c r="E567" s="40"/>
      <c r="F567" s="41"/>
      <c r="G567" s="40"/>
      <c r="H567" s="41"/>
      <c r="I567" s="39"/>
      <c r="J567" s="39"/>
      <c r="K567" s="40"/>
      <c r="L567" s="41"/>
      <c r="M567" s="38"/>
      <c r="N567" s="15"/>
      <c r="O567" s="15"/>
      <c r="P567" s="15"/>
      <c r="Q567" s="15"/>
      <c r="R567" s="16"/>
      <c r="S567" s="38"/>
      <c r="T567" s="38"/>
      <c r="U567" s="38"/>
      <c r="V567" s="38"/>
      <c r="W567" s="38"/>
      <c r="X567" s="38"/>
      <c r="Y567" s="38"/>
      <c r="Z567" s="38"/>
      <c r="AA567" s="38"/>
      <c r="AB567" s="38"/>
      <c r="AC567" s="38"/>
    </row>
    <row r="568" spans="1:29" ht="12.75">
      <c r="A568" s="38"/>
      <c r="B568" s="38"/>
      <c r="C568" s="40"/>
      <c r="D568" s="41"/>
      <c r="E568" s="40"/>
      <c r="F568" s="41"/>
      <c r="G568" s="40"/>
      <c r="H568" s="41"/>
      <c r="I568" s="39"/>
      <c r="J568" s="39"/>
      <c r="K568" s="40"/>
      <c r="L568" s="41"/>
      <c r="M568" s="38"/>
      <c r="N568" s="15"/>
      <c r="O568" s="15"/>
      <c r="P568" s="15"/>
      <c r="Q568" s="15"/>
      <c r="R568" s="16"/>
      <c r="S568" s="38"/>
      <c r="T568" s="38"/>
      <c r="U568" s="38"/>
      <c r="V568" s="38"/>
      <c r="W568" s="38"/>
      <c r="X568" s="38"/>
      <c r="Y568" s="38"/>
      <c r="Z568" s="38"/>
      <c r="AA568" s="38"/>
      <c r="AB568" s="38"/>
      <c r="AC568" s="38"/>
    </row>
    <row r="569" spans="1:29" ht="12.75">
      <c r="A569" s="38"/>
      <c r="B569" s="38"/>
      <c r="C569" s="40"/>
      <c r="D569" s="41"/>
      <c r="E569" s="40"/>
      <c r="F569" s="41"/>
      <c r="G569" s="40"/>
      <c r="H569" s="41"/>
      <c r="I569" s="39"/>
      <c r="J569" s="39"/>
      <c r="K569" s="40"/>
      <c r="L569" s="41"/>
      <c r="M569" s="38"/>
      <c r="N569" s="15"/>
      <c r="O569" s="15"/>
      <c r="P569" s="15"/>
      <c r="Q569" s="15"/>
      <c r="R569" s="16"/>
      <c r="S569" s="38"/>
      <c r="T569" s="38"/>
      <c r="U569" s="38"/>
      <c r="V569" s="38"/>
      <c r="W569" s="38"/>
      <c r="X569" s="38"/>
      <c r="Y569" s="38"/>
      <c r="Z569" s="38"/>
      <c r="AA569" s="38"/>
      <c r="AB569" s="38"/>
      <c r="AC569" s="38"/>
    </row>
    <row r="570" spans="1:29" ht="12.75">
      <c r="A570" s="38"/>
      <c r="B570" s="38"/>
      <c r="C570" s="40"/>
      <c r="D570" s="41"/>
      <c r="E570" s="40"/>
      <c r="F570" s="41"/>
      <c r="G570" s="40"/>
      <c r="H570" s="41"/>
      <c r="I570" s="39"/>
      <c r="J570" s="39"/>
      <c r="K570" s="40"/>
      <c r="L570" s="41"/>
      <c r="M570" s="38"/>
      <c r="N570" s="15"/>
      <c r="O570" s="15"/>
      <c r="P570" s="15"/>
      <c r="Q570" s="15"/>
      <c r="R570" s="16"/>
      <c r="S570" s="38"/>
      <c r="T570" s="38"/>
      <c r="U570" s="38"/>
      <c r="V570" s="38"/>
      <c r="W570" s="38"/>
      <c r="X570" s="38"/>
      <c r="Y570" s="38"/>
      <c r="Z570" s="38"/>
      <c r="AA570" s="38"/>
      <c r="AB570" s="38"/>
      <c r="AC570" s="38"/>
    </row>
    <row r="571" spans="1:29" ht="12.75">
      <c r="A571" s="38"/>
      <c r="B571" s="38"/>
      <c r="C571" s="40"/>
      <c r="D571" s="41"/>
      <c r="E571" s="40"/>
      <c r="F571" s="41"/>
      <c r="G571" s="40"/>
      <c r="H571" s="41"/>
      <c r="I571" s="39"/>
      <c r="J571" s="39"/>
      <c r="K571" s="40"/>
      <c r="L571" s="41"/>
      <c r="M571" s="38"/>
      <c r="N571" s="15"/>
      <c r="O571" s="15"/>
      <c r="P571" s="15"/>
      <c r="Q571" s="15"/>
      <c r="R571" s="16"/>
      <c r="S571" s="38"/>
      <c r="T571" s="38"/>
      <c r="U571" s="38"/>
      <c r="V571" s="38"/>
      <c r="W571" s="38"/>
      <c r="X571" s="38"/>
      <c r="Y571" s="38"/>
      <c r="Z571" s="38"/>
      <c r="AA571" s="38"/>
      <c r="AB571" s="38"/>
      <c r="AC571" s="38"/>
    </row>
    <row r="572" spans="1:29" ht="12.75">
      <c r="A572" s="38"/>
      <c r="B572" s="38"/>
      <c r="C572" s="40"/>
      <c r="D572" s="41"/>
      <c r="E572" s="40"/>
      <c r="F572" s="41"/>
      <c r="G572" s="40"/>
      <c r="H572" s="41"/>
      <c r="I572" s="39"/>
      <c r="J572" s="39"/>
      <c r="K572" s="40"/>
      <c r="L572" s="41"/>
      <c r="M572" s="38"/>
      <c r="N572" s="15"/>
      <c r="O572" s="15"/>
      <c r="P572" s="15"/>
      <c r="Q572" s="15"/>
      <c r="R572" s="16"/>
      <c r="S572" s="38"/>
      <c r="T572" s="38"/>
      <c r="U572" s="38"/>
      <c r="V572" s="38"/>
      <c r="W572" s="38"/>
      <c r="X572" s="38"/>
      <c r="Y572" s="38"/>
      <c r="Z572" s="38"/>
      <c r="AA572" s="38"/>
      <c r="AB572" s="38"/>
      <c r="AC572" s="38"/>
    </row>
    <row r="573" spans="1:29" ht="12.75">
      <c r="A573" s="38"/>
      <c r="B573" s="38"/>
      <c r="C573" s="40"/>
      <c r="D573" s="41"/>
      <c r="E573" s="40"/>
      <c r="F573" s="41"/>
      <c r="G573" s="40"/>
      <c r="H573" s="41"/>
      <c r="I573" s="39"/>
      <c r="J573" s="39"/>
      <c r="K573" s="40"/>
      <c r="L573" s="41"/>
      <c r="M573" s="38"/>
      <c r="N573" s="15"/>
      <c r="O573" s="15"/>
      <c r="P573" s="15"/>
      <c r="Q573" s="15"/>
      <c r="R573" s="16"/>
      <c r="S573" s="38"/>
      <c r="T573" s="38"/>
      <c r="U573" s="38"/>
      <c r="V573" s="38"/>
      <c r="W573" s="38"/>
      <c r="X573" s="38"/>
      <c r="Y573" s="38"/>
      <c r="Z573" s="38"/>
      <c r="AA573" s="38"/>
      <c r="AB573" s="38"/>
      <c r="AC573" s="38"/>
    </row>
    <row r="574" spans="1:29" ht="12.75">
      <c r="A574" s="38"/>
      <c r="B574" s="38"/>
      <c r="C574" s="40"/>
      <c r="D574" s="41"/>
      <c r="E574" s="40"/>
      <c r="F574" s="41"/>
      <c r="G574" s="40"/>
      <c r="H574" s="41"/>
      <c r="I574" s="39"/>
      <c r="J574" s="39"/>
      <c r="K574" s="40"/>
      <c r="L574" s="41"/>
      <c r="M574" s="38"/>
      <c r="N574" s="15"/>
      <c r="O574" s="15"/>
      <c r="P574" s="15"/>
      <c r="Q574" s="15"/>
      <c r="R574" s="16"/>
      <c r="S574" s="38"/>
      <c r="T574" s="38"/>
      <c r="U574" s="38"/>
      <c r="V574" s="38"/>
      <c r="W574" s="38"/>
      <c r="X574" s="38"/>
      <c r="Y574" s="38"/>
      <c r="Z574" s="38"/>
      <c r="AA574" s="38"/>
      <c r="AB574" s="38"/>
      <c r="AC574" s="38"/>
    </row>
    <row r="575" spans="1:29" ht="12.75">
      <c r="A575" s="38"/>
      <c r="B575" s="38"/>
      <c r="C575" s="40"/>
      <c r="D575" s="41"/>
      <c r="E575" s="40"/>
      <c r="F575" s="41"/>
      <c r="G575" s="40"/>
      <c r="H575" s="41"/>
      <c r="I575" s="39"/>
      <c r="J575" s="39"/>
      <c r="K575" s="40"/>
      <c r="L575" s="41"/>
      <c r="M575" s="38"/>
      <c r="N575" s="15"/>
      <c r="O575" s="15"/>
      <c r="P575" s="15"/>
      <c r="Q575" s="15"/>
      <c r="R575" s="16"/>
      <c r="S575" s="38"/>
      <c r="T575" s="38"/>
      <c r="U575" s="38"/>
      <c r="V575" s="38"/>
      <c r="W575" s="38"/>
      <c r="X575" s="38"/>
      <c r="Y575" s="38"/>
      <c r="Z575" s="38"/>
      <c r="AA575" s="38"/>
      <c r="AB575" s="38"/>
      <c r="AC575" s="38"/>
    </row>
    <row r="576" spans="1:29" ht="12.75">
      <c r="A576" s="38"/>
      <c r="B576" s="38"/>
      <c r="C576" s="40"/>
      <c r="D576" s="41"/>
      <c r="E576" s="40"/>
      <c r="F576" s="41"/>
      <c r="G576" s="40"/>
      <c r="H576" s="41"/>
      <c r="I576" s="39"/>
      <c r="J576" s="39"/>
      <c r="K576" s="40"/>
      <c r="L576" s="41"/>
      <c r="M576" s="38"/>
      <c r="N576" s="15"/>
      <c r="O576" s="15"/>
      <c r="P576" s="15"/>
      <c r="Q576" s="15"/>
      <c r="R576" s="16"/>
      <c r="S576" s="38"/>
      <c r="T576" s="38"/>
      <c r="U576" s="38"/>
      <c r="V576" s="38"/>
      <c r="W576" s="38"/>
      <c r="X576" s="38"/>
      <c r="Y576" s="38"/>
      <c r="Z576" s="38"/>
      <c r="AA576" s="38"/>
      <c r="AB576" s="38"/>
      <c r="AC576" s="38"/>
    </row>
    <row r="577" spans="1:29" ht="12.75">
      <c r="A577" s="38"/>
      <c r="B577" s="38"/>
      <c r="C577" s="40"/>
      <c r="D577" s="41"/>
      <c r="E577" s="40"/>
      <c r="F577" s="41"/>
      <c r="G577" s="40"/>
      <c r="H577" s="41"/>
      <c r="I577" s="39"/>
      <c r="J577" s="39"/>
      <c r="K577" s="40"/>
      <c r="L577" s="41"/>
      <c r="M577" s="38"/>
      <c r="N577" s="15"/>
      <c r="O577" s="15"/>
      <c r="P577" s="15"/>
      <c r="Q577" s="15"/>
      <c r="R577" s="16"/>
      <c r="S577" s="38"/>
      <c r="T577" s="38"/>
      <c r="U577" s="38"/>
      <c r="V577" s="38"/>
      <c r="W577" s="38"/>
      <c r="X577" s="38"/>
      <c r="Y577" s="38"/>
      <c r="Z577" s="38"/>
      <c r="AA577" s="38"/>
      <c r="AB577" s="38"/>
      <c r="AC577" s="38"/>
    </row>
    <row r="578" spans="1:29" ht="12.75">
      <c r="A578" s="38"/>
      <c r="B578" s="38"/>
      <c r="C578" s="40"/>
      <c r="D578" s="41"/>
      <c r="E578" s="40"/>
      <c r="F578" s="41"/>
      <c r="G578" s="40"/>
      <c r="H578" s="41"/>
      <c r="I578" s="39"/>
      <c r="J578" s="39"/>
      <c r="K578" s="40"/>
      <c r="L578" s="41"/>
      <c r="M578" s="38"/>
      <c r="N578" s="15"/>
      <c r="O578" s="15"/>
      <c r="P578" s="15"/>
      <c r="Q578" s="15"/>
      <c r="R578" s="16"/>
      <c r="S578" s="38"/>
      <c r="T578" s="38"/>
      <c r="U578" s="38"/>
      <c r="V578" s="38"/>
      <c r="W578" s="38"/>
      <c r="X578" s="38"/>
      <c r="Y578" s="38"/>
      <c r="Z578" s="38"/>
      <c r="AA578" s="38"/>
      <c r="AB578" s="38"/>
      <c r="AC578" s="38"/>
    </row>
    <row r="579" spans="1:29" ht="12.75">
      <c r="A579" s="38"/>
      <c r="B579" s="38"/>
      <c r="C579" s="40"/>
      <c r="D579" s="41"/>
      <c r="E579" s="40"/>
      <c r="F579" s="41"/>
      <c r="G579" s="40"/>
      <c r="H579" s="41"/>
      <c r="I579" s="39"/>
      <c r="J579" s="39"/>
      <c r="K579" s="40"/>
      <c r="L579" s="41"/>
      <c r="M579" s="38"/>
      <c r="N579" s="15"/>
      <c r="O579" s="15"/>
      <c r="P579" s="15"/>
      <c r="Q579" s="15"/>
      <c r="R579" s="16"/>
      <c r="S579" s="38"/>
      <c r="T579" s="38"/>
      <c r="U579" s="38"/>
      <c r="V579" s="38"/>
      <c r="W579" s="38"/>
      <c r="X579" s="38"/>
      <c r="Y579" s="38"/>
      <c r="Z579" s="38"/>
      <c r="AA579" s="38"/>
      <c r="AB579" s="38"/>
      <c r="AC579" s="38"/>
    </row>
    <row r="580" spans="1:29" ht="12.75">
      <c r="A580" s="38"/>
      <c r="B580" s="38"/>
      <c r="C580" s="40"/>
      <c r="D580" s="41"/>
      <c r="E580" s="40"/>
      <c r="F580" s="41"/>
      <c r="G580" s="40"/>
      <c r="H580" s="41"/>
      <c r="I580" s="39"/>
      <c r="J580" s="39"/>
      <c r="K580" s="40"/>
      <c r="L580" s="41"/>
      <c r="M580" s="38"/>
      <c r="N580" s="15"/>
      <c r="O580" s="15"/>
      <c r="P580" s="15"/>
      <c r="Q580" s="15"/>
      <c r="R580" s="16"/>
      <c r="S580" s="38"/>
      <c r="T580" s="38"/>
      <c r="U580" s="38"/>
      <c r="V580" s="38"/>
      <c r="W580" s="38"/>
      <c r="X580" s="38"/>
      <c r="Y580" s="38"/>
      <c r="Z580" s="38"/>
      <c r="AA580" s="38"/>
      <c r="AB580" s="38"/>
      <c r="AC580" s="38"/>
    </row>
    <row r="581" spans="1:29" ht="12.75">
      <c r="A581" s="38"/>
      <c r="B581" s="38"/>
      <c r="C581" s="40"/>
      <c r="D581" s="41"/>
      <c r="E581" s="40"/>
      <c r="F581" s="41"/>
      <c r="G581" s="40"/>
      <c r="H581" s="41"/>
      <c r="I581" s="39"/>
      <c r="J581" s="39"/>
      <c r="K581" s="40"/>
      <c r="L581" s="41"/>
      <c r="M581" s="38"/>
      <c r="N581" s="15"/>
      <c r="O581" s="15"/>
      <c r="P581" s="15"/>
      <c r="Q581" s="15"/>
      <c r="R581" s="16"/>
      <c r="S581" s="38"/>
      <c r="T581" s="38"/>
      <c r="U581" s="38"/>
      <c r="V581" s="38"/>
      <c r="W581" s="38"/>
      <c r="X581" s="38"/>
      <c r="Y581" s="38"/>
      <c r="Z581" s="38"/>
      <c r="AA581" s="38"/>
      <c r="AB581" s="38"/>
      <c r="AC581" s="38"/>
    </row>
    <row r="582" spans="1:29" ht="12.75">
      <c r="A582" s="38"/>
      <c r="B582" s="38"/>
      <c r="C582" s="40"/>
      <c r="D582" s="41"/>
      <c r="E582" s="40"/>
      <c r="F582" s="41"/>
      <c r="G582" s="40"/>
      <c r="H582" s="41"/>
      <c r="I582" s="39"/>
      <c r="J582" s="39"/>
      <c r="K582" s="40"/>
      <c r="L582" s="41"/>
      <c r="M582" s="38"/>
      <c r="N582" s="15"/>
      <c r="O582" s="15"/>
      <c r="P582" s="15"/>
      <c r="Q582" s="15"/>
      <c r="R582" s="16"/>
      <c r="S582" s="38"/>
      <c r="T582" s="38"/>
      <c r="U582" s="38"/>
      <c r="V582" s="38"/>
      <c r="W582" s="38"/>
      <c r="X582" s="38"/>
      <c r="Y582" s="38"/>
      <c r="Z582" s="38"/>
      <c r="AA582" s="38"/>
      <c r="AB582" s="38"/>
      <c r="AC582" s="38"/>
    </row>
  </sheetData>
  <sheetProtection/>
  <mergeCells count="12">
    <mergeCell ref="I1:K1"/>
    <mergeCell ref="K29:L29"/>
    <mergeCell ref="B29:I29"/>
    <mergeCell ref="I2:J2"/>
    <mergeCell ref="K2:L2"/>
    <mergeCell ref="M2:N2"/>
    <mergeCell ref="O2:P2"/>
    <mergeCell ref="A4:P4"/>
    <mergeCell ref="A12:P12"/>
    <mergeCell ref="G2:H2"/>
    <mergeCell ref="E2:F2"/>
    <mergeCell ref="C2:D2"/>
  </mergeCells>
  <printOptions/>
  <pageMargins left="2.22" right="0.75" top="1.09" bottom="1" header="0.5" footer="0.5"/>
  <pageSetup firstPageNumber="10" useFirstPageNumber="1" horizontalDpi="300" verticalDpi="300" orientation="portrait" r:id="rId1"/>
  <headerFooter alignWithMargins="0">
    <oddHeader>&amp;C&amp;"Times New Roman,Bold"&amp;12U.S. Aquaculture (1996)
&amp;"Times New Roman,Regular"&amp;10(all weights in pounds)&amp;R&amp;P</oddHeader>
  </headerFooter>
</worksheet>
</file>

<file path=xl/worksheets/sheet12.xml><?xml version="1.0" encoding="utf-8"?>
<worksheet xmlns="http://schemas.openxmlformats.org/spreadsheetml/2006/main" xmlns:r="http://schemas.openxmlformats.org/officeDocument/2006/relationships">
  <dimension ref="A1:M651"/>
  <sheetViews>
    <sheetView zoomScalePageLayoutView="0" workbookViewId="0" topLeftCell="E70">
      <selection activeCell="M79" sqref="M79"/>
    </sheetView>
  </sheetViews>
  <sheetFormatPr defaultColWidth="9.140625" defaultRowHeight="12.75"/>
  <cols>
    <col min="1" max="1" width="22.8515625" style="45" customWidth="1"/>
    <col min="2" max="2" width="7.421875" style="132" customWidth="1"/>
    <col min="3" max="3" width="6.421875" style="132" customWidth="1"/>
    <col min="4" max="4" width="7.00390625" style="47" customWidth="1"/>
    <col min="5" max="5" width="7.28125" style="47" customWidth="1"/>
    <col min="6" max="6" width="7.140625" style="47" customWidth="1"/>
    <col min="7" max="7" width="6.28125" style="47" customWidth="1"/>
    <col min="8" max="9" width="7.421875" style="132" customWidth="1"/>
    <col min="10" max="10" width="5.7109375" style="132" bestFit="1" customWidth="1"/>
    <col min="11" max="11" width="7.421875" style="132" customWidth="1"/>
    <col min="12" max="12" width="35.00390625" style="58" customWidth="1"/>
    <col min="13" max="13" width="8.7109375" style="48" customWidth="1"/>
    <col min="14" max="16384" width="9.140625" style="49" customWidth="1"/>
  </cols>
  <sheetData>
    <row r="1" spans="1:13" ht="12.75" thickBot="1">
      <c r="A1" s="51" t="s">
        <v>496</v>
      </c>
      <c r="B1" s="72" t="s">
        <v>368</v>
      </c>
      <c r="C1" s="72" t="s">
        <v>454</v>
      </c>
      <c r="D1" s="72" t="s">
        <v>455</v>
      </c>
      <c r="E1" s="72" t="s">
        <v>536</v>
      </c>
      <c r="F1" s="72" t="s">
        <v>458</v>
      </c>
      <c r="G1" s="72" t="s">
        <v>537</v>
      </c>
      <c r="H1" s="72" t="s">
        <v>388</v>
      </c>
      <c r="I1" s="72" t="s">
        <v>389</v>
      </c>
      <c r="J1" s="72" t="s">
        <v>413</v>
      </c>
      <c r="K1" s="72" t="s">
        <v>538</v>
      </c>
      <c r="L1" s="59" t="s">
        <v>367</v>
      </c>
      <c r="M1" s="51" t="s">
        <v>366</v>
      </c>
    </row>
    <row r="2" spans="1:13" ht="12">
      <c r="A2" s="98" t="s">
        <v>170</v>
      </c>
      <c r="B2" s="133" t="e">
        <v>#N/A</v>
      </c>
      <c r="C2" s="133">
        <v>0.875</v>
      </c>
      <c r="D2" s="99" t="e">
        <f aca="true" t="shared" si="0" ref="D2:D33">C2/B2</f>
        <v>#N/A</v>
      </c>
      <c r="E2" s="99" t="e">
        <f aca="true" t="shared" si="1" ref="E2:E33">$D$156*B2</f>
        <v>#N/A</v>
      </c>
      <c r="F2" s="99">
        <v>0.875</v>
      </c>
      <c r="G2" s="99">
        <f>$D$157*F2</f>
        <v>0.74375</v>
      </c>
      <c r="H2" s="133">
        <v>0.75</v>
      </c>
      <c r="I2" s="146"/>
      <c r="J2" s="149"/>
      <c r="K2" s="133">
        <f aca="true" t="shared" si="2" ref="K2:K33">AVERAGEA(G2:J2)</f>
        <v>0.746875</v>
      </c>
      <c r="L2" s="100" t="s">
        <v>390</v>
      </c>
      <c r="M2" s="101" t="s">
        <v>259</v>
      </c>
    </row>
    <row r="3" spans="1:13" ht="12">
      <c r="A3" s="102" t="s">
        <v>171</v>
      </c>
      <c r="B3" s="134" t="e">
        <v>#N/A</v>
      </c>
      <c r="C3" s="134" t="e">
        <v>#N/A</v>
      </c>
      <c r="D3" s="53" t="e">
        <f t="shared" si="0"/>
        <v>#N/A</v>
      </c>
      <c r="E3" s="53" t="e">
        <f t="shared" si="1"/>
        <v>#N/A</v>
      </c>
      <c r="F3" s="53"/>
      <c r="G3" s="53"/>
      <c r="H3" s="134">
        <v>0.04188712522045855</v>
      </c>
      <c r="I3" s="134"/>
      <c r="J3" s="134"/>
      <c r="K3" s="134">
        <f t="shared" si="2"/>
        <v>0.04188712522045855</v>
      </c>
      <c r="L3" s="21" t="s">
        <v>387</v>
      </c>
      <c r="M3" s="103">
        <v>24</v>
      </c>
    </row>
    <row r="4" spans="1:13" ht="12">
      <c r="A4" s="102" t="s">
        <v>172</v>
      </c>
      <c r="B4" s="134" t="e">
        <v>#N/A</v>
      </c>
      <c r="C4" s="134">
        <v>2</v>
      </c>
      <c r="D4" s="53" t="e">
        <f t="shared" si="0"/>
        <v>#N/A</v>
      </c>
      <c r="E4" s="53" t="e">
        <f t="shared" si="1"/>
        <v>#N/A</v>
      </c>
      <c r="F4" s="53">
        <v>2</v>
      </c>
      <c r="G4" s="53">
        <f>$D$157*F4</f>
        <v>1.7</v>
      </c>
      <c r="H4" s="134"/>
      <c r="I4" s="134"/>
      <c r="J4" s="134"/>
      <c r="K4" s="134">
        <f t="shared" si="2"/>
        <v>1.7</v>
      </c>
      <c r="L4" s="21" t="s">
        <v>369</v>
      </c>
      <c r="M4" s="103">
        <v>10</v>
      </c>
    </row>
    <row r="5" spans="1:13" ht="12">
      <c r="A5" s="102" t="s">
        <v>173</v>
      </c>
      <c r="B5" s="134">
        <v>31.75</v>
      </c>
      <c r="C5" s="134">
        <v>31</v>
      </c>
      <c r="D5" s="53">
        <f t="shared" si="0"/>
        <v>0.9763779527559056</v>
      </c>
      <c r="E5" s="53">
        <f t="shared" si="1"/>
        <v>23.593483543115536</v>
      </c>
      <c r="F5" s="53">
        <v>27.08875</v>
      </c>
      <c r="G5" s="70"/>
      <c r="H5" s="134">
        <f>2.205*2.679</f>
        <v>5.907195</v>
      </c>
      <c r="I5" s="134">
        <v>3</v>
      </c>
      <c r="J5" s="134">
        <v>2</v>
      </c>
      <c r="K5" s="134">
        <f t="shared" si="2"/>
        <v>3.6357316666666666</v>
      </c>
      <c r="L5" s="21" t="s">
        <v>414</v>
      </c>
      <c r="M5" s="113" t="s">
        <v>489</v>
      </c>
    </row>
    <row r="6" spans="1:13" ht="12">
      <c r="A6" s="102" t="s">
        <v>174</v>
      </c>
      <c r="B6" s="134" t="e">
        <v>#N/A</v>
      </c>
      <c r="C6" s="144">
        <v>1</v>
      </c>
      <c r="D6" s="53" t="e">
        <f t="shared" si="0"/>
        <v>#N/A</v>
      </c>
      <c r="E6" s="53" t="e">
        <f t="shared" si="1"/>
        <v>#N/A</v>
      </c>
      <c r="F6" s="53">
        <v>1</v>
      </c>
      <c r="G6" s="53">
        <f>$D$157*F6</f>
        <v>0.85</v>
      </c>
      <c r="H6" s="134"/>
      <c r="I6" s="134"/>
      <c r="J6" s="134"/>
      <c r="K6" s="134">
        <f t="shared" si="2"/>
        <v>0.85</v>
      </c>
      <c r="L6" s="21"/>
      <c r="M6" s="103">
        <v>20</v>
      </c>
    </row>
    <row r="7" spans="1:13" ht="12">
      <c r="A7" s="102" t="s">
        <v>175</v>
      </c>
      <c r="B7" s="143" t="e">
        <v>#N/A</v>
      </c>
      <c r="C7" s="144">
        <v>12</v>
      </c>
      <c r="D7" s="53" t="e">
        <f t="shared" si="0"/>
        <v>#N/A</v>
      </c>
      <c r="E7" s="53" t="e">
        <f t="shared" si="1"/>
        <v>#N/A</v>
      </c>
      <c r="F7" s="53">
        <v>12</v>
      </c>
      <c r="G7" s="53">
        <f>$D$157*F7</f>
        <v>10.2</v>
      </c>
      <c r="H7" s="134">
        <v>2.04</v>
      </c>
      <c r="I7" s="134"/>
      <c r="J7" s="134"/>
      <c r="K7" s="134">
        <f t="shared" si="2"/>
        <v>6.119999999999999</v>
      </c>
      <c r="L7" s="21" t="s">
        <v>393</v>
      </c>
      <c r="M7" s="103" t="s">
        <v>547</v>
      </c>
    </row>
    <row r="8" spans="1:13" ht="12">
      <c r="A8" s="102" t="s">
        <v>176</v>
      </c>
      <c r="B8" s="134" t="e">
        <v>#N/A</v>
      </c>
      <c r="C8" s="136">
        <v>1.1025</v>
      </c>
      <c r="D8" s="53" t="e">
        <f t="shared" si="0"/>
        <v>#N/A</v>
      </c>
      <c r="E8" s="53" t="e">
        <f t="shared" si="1"/>
        <v>#N/A</v>
      </c>
      <c r="F8" s="53">
        <v>1.1025</v>
      </c>
      <c r="G8" s="53">
        <f>$D$157*F8</f>
        <v>0.937125</v>
      </c>
      <c r="H8" s="134">
        <v>0.5</v>
      </c>
      <c r="I8" s="134"/>
      <c r="J8" s="134"/>
      <c r="K8" s="134">
        <f t="shared" si="2"/>
        <v>0.7185625</v>
      </c>
      <c r="L8" s="21"/>
      <c r="M8" s="103" t="s">
        <v>261</v>
      </c>
    </row>
    <row r="9" spans="1:13" ht="12">
      <c r="A9" s="102" t="s">
        <v>177</v>
      </c>
      <c r="B9" s="134">
        <v>3.75</v>
      </c>
      <c r="C9" s="134" t="e">
        <v>#N/A</v>
      </c>
      <c r="D9" s="53" t="e">
        <f t="shared" si="0"/>
        <v>#N/A</v>
      </c>
      <c r="E9" s="53">
        <f t="shared" si="1"/>
        <v>2.786631914541205</v>
      </c>
      <c r="F9" s="53">
        <v>2.7375</v>
      </c>
      <c r="G9" s="53">
        <f>$D$157*F9</f>
        <v>2.326875</v>
      </c>
      <c r="H9" s="134">
        <v>7.5</v>
      </c>
      <c r="I9" s="134"/>
      <c r="J9" s="134"/>
      <c r="K9" s="134">
        <f t="shared" si="2"/>
        <v>4.9134375</v>
      </c>
      <c r="L9" s="21" t="s">
        <v>539</v>
      </c>
      <c r="M9" s="103" t="s">
        <v>258</v>
      </c>
    </row>
    <row r="10" spans="1:13" ht="12">
      <c r="A10" s="102" t="s">
        <v>327</v>
      </c>
      <c r="B10" s="134">
        <v>0.75</v>
      </c>
      <c r="C10" s="134" t="e">
        <v>#N/A</v>
      </c>
      <c r="D10" s="53" t="e">
        <f t="shared" si="0"/>
        <v>#N/A</v>
      </c>
      <c r="E10" s="53">
        <f t="shared" si="1"/>
        <v>0.557326382908241</v>
      </c>
      <c r="F10" s="53">
        <v>0.5475</v>
      </c>
      <c r="G10" s="53">
        <f>$D$157*F10</f>
        <v>0.465375</v>
      </c>
      <c r="H10" s="134">
        <v>1.0625</v>
      </c>
      <c r="I10" s="134"/>
      <c r="J10" s="134"/>
      <c r="K10" s="134">
        <f t="shared" si="2"/>
        <v>0.7639374999999999</v>
      </c>
      <c r="L10" s="21" t="s">
        <v>394</v>
      </c>
      <c r="M10" s="103" t="s">
        <v>257</v>
      </c>
    </row>
    <row r="11" spans="1:13" ht="12">
      <c r="A11" s="102" t="s">
        <v>178</v>
      </c>
      <c r="B11" s="134">
        <v>98.75</v>
      </c>
      <c r="C11" s="134">
        <v>66</v>
      </c>
      <c r="D11" s="53">
        <f t="shared" si="0"/>
        <v>0.6683544303797468</v>
      </c>
      <c r="E11" s="53">
        <f t="shared" si="1"/>
        <v>73.3813070829184</v>
      </c>
      <c r="F11" s="53">
        <v>69.04375</v>
      </c>
      <c r="G11" s="53"/>
      <c r="H11" s="134">
        <v>3.038</v>
      </c>
      <c r="I11" s="134"/>
      <c r="J11" s="134"/>
      <c r="K11" s="134">
        <f t="shared" si="2"/>
        <v>3.038</v>
      </c>
      <c r="L11" s="21" t="s">
        <v>243</v>
      </c>
      <c r="M11" s="103" t="s">
        <v>548</v>
      </c>
    </row>
    <row r="12" spans="1:13" ht="12">
      <c r="A12" s="102" t="s">
        <v>179</v>
      </c>
      <c r="B12" s="134">
        <v>19.625</v>
      </c>
      <c r="C12" s="134" t="e">
        <v>#N/A</v>
      </c>
      <c r="D12" s="53" t="e">
        <f t="shared" si="0"/>
        <v>#N/A</v>
      </c>
      <c r="E12" s="53">
        <f t="shared" si="1"/>
        <v>14.583373686098973</v>
      </c>
      <c r="F12" s="53">
        <v>14.32625</v>
      </c>
      <c r="G12" s="53"/>
      <c r="H12" s="134">
        <v>1</v>
      </c>
      <c r="I12" s="134"/>
      <c r="J12" s="134"/>
      <c r="K12" s="134">
        <f t="shared" si="2"/>
        <v>1</v>
      </c>
      <c r="L12" s="21" t="s">
        <v>244</v>
      </c>
      <c r="M12" s="103" t="s">
        <v>549</v>
      </c>
    </row>
    <row r="13" spans="1:13" ht="12">
      <c r="A13" s="102" t="s">
        <v>180</v>
      </c>
      <c r="B13" s="134" t="e">
        <v>#N/A</v>
      </c>
      <c r="C13" s="134">
        <v>35</v>
      </c>
      <c r="D13" s="53" t="e">
        <f t="shared" si="0"/>
        <v>#N/A</v>
      </c>
      <c r="E13" s="53" t="e">
        <f t="shared" si="1"/>
        <v>#N/A</v>
      </c>
      <c r="F13" s="53">
        <v>35</v>
      </c>
      <c r="G13" s="70"/>
      <c r="H13" s="134">
        <v>10</v>
      </c>
      <c r="I13" s="134">
        <v>1.5</v>
      </c>
      <c r="J13" s="134">
        <v>7</v>
      </c>
      <c r="K13" s="134">
        <f t="shared" si="2"/>
        <v>6.166666666666667</v>
      </c>
      <c r="L13" s="21" t="s">
        <v>415</v>
      </c>
      <c r="M13" s="113" t="s">
        <v>565</v>
      </c>
    </row>
    <row r="14" spans="1:13" ht="12">
      <c r="A14" s="102" t="s">
        <v>181</v>
      </c>
      <c r="B14" s="134" t="e">
        <v>#N/A</v>
      </c>
      <c r="C14" s="134">
        <v>2</v>
      </c>
      <c r="D14" s="53" t="e">
        <f t="shared" si="0"/>
        <v>#N/A</v>
      </c>
      <c r="E14" s="53" t="e">
        <f t="shared" si="1"/>
        <v>#N/A</v>
      </c>
      <c r="F14" s="53">
        <v>2</v>
      </c>
      <c r="G14" s="53">
        <f>$D$157*F14</f>
        <v>1.7</v>
      </c>
      <c r="H14" s="134">
        <v>0.9</v>
      </c>
      <c r="I14" s="134">
        <v>0.333</v>
      </c>
      <c r="J14" s="134">
        <f>2.205*0.339</f>
        <v>0.747495</v>
      </c>
      <c r="K14" s="134">
        <f t="shared" si="2"/>
        <v>0.9201237500000001</v>
      </c>
      <c r="L14" s="21"/>
      <c r="M14" s="113" t="s">
        <v>550</v>
      </c>
    </row>
    <row r="15" spans="1:13" ht="12">
      <c r="A15" s="102" t="s">
        <v>182</v>
      </c>
      <c r="B15" s="134" t="e">
        <v>#N/A</v>
      </c>
      <c r="C15" s="134">
        <v>2</v>
      </c>
      <c r="D15" s="53" t="e">
        <f t="shared" si="0"/>
        <v>#N/A</v>
      </c>
      <c r="E15" s="53" t="e">
        <f t="shared" si="1"/>
        <v>#N/A</v>
      </c>
      <c r="F15" s="53">
        <v>2</v>
      </c>
      <c r="G15" s="53">
        <f>$D$157*F15</f>
        <v>1.7</v>
      </c>
      <c r="H15" s="134">
        <v>0.9</v>
      </c>
      <c r="I15" s="134"/>
      <c r="J15" s="134"/>
      <c r="K15" s="134">
        <f t="shared" si="2"/>
        <v>1.3</v>
      </c>
      <c r="L15" s="21" t="s">
        <v>248</v>
      </c>
      <c r="M15" s="103" t="s">
        <v>247</v>
      </c>
    </row>
    <row r="16" spans="1:13" ht="12">
      <c r="A16" s="102" t="s">
        <v>183</v>
      </c>
      <c r="B16" s="134">
        <v>27</v>
      </c>
      <c r="C16" s="134">
        <v>20</v>
      </c>
      <c r="D16" s="53">
        <f t="shared" si="0"/>
        <v>0.7407407407407407</v>
      </c>
      <c r="E16" s="53">
        <f t="shared" si="1"/>
        <v>20.063749784696675</v>
      </c>
      <c r="F16" s="53">
        <v>19.855</v>
      </c>
      <c r="G16" s="53">
        <f>$D$157*F16</f>
        <v>16.87675</v>
      </c>
      <c r="H16" s="134"/>
      <c r="I16" s="134"/>
      <c r="J16" s="134"/>
      <c r="K16" s="134">
        <f t="shared" si="2"/>
        <v>16.87675</v>
      </c>
      <c r="L16" s="21"/>
      <c r="M16" s="103" t="s">
        <v>255</v>
      </c>
    </row>
    <row r="17" spans="1:13" ht="12">
      <c r="A17" s="102" t="s">
        <v>184</v>
      </c>
      <c r="B17" s="134" t="e">
        <v>#N/A</v>
      </c>
      <c r="C17" s="134" t="e">
        <v>#N/A</v>
      </c>
      <c r="D17" s="53" t="e">
        <f t="shared" si="0"/>
        <v>#N/A</v>
      </c>
      <c r="E17" s="53" t="e">
        <f t="shared" si="1"/>
        <v>#N/A</v>
      </c>
      <c r="F17" s="53"/>
      <c r="G17" s="53"/>
      <c r="H17" s="134">
        <v>24</v>
      </c>
      <c r="I17" s="134">
        <v>30</v>
      </c>
      <c r="J17" s="134"/>
      <c r="K17" s="134">
        <f t="shared" si="2"/>
        <v>27</v>
      </c>
      <c r="L17" s="21" t="s">
        <v>249</v>
      </c>
      <c r="M17" s="103" t="s">
        <v>254</v>
      </c>
    </row>
    <row r="18" spans="1:13" ht="12">
      <c r="A18" s="102" t="s">
        <v>185</v>
      </c>
      <c r="B18" s="134" t="e">
        <v>#N/A</v>
      </c>
      <c r="C18" s="134" t="e">
        <v>#N/A</v>
      </c>
      <c r="D18" s="53" t="e">
        <f t="shared" si="0"/>
        <v>#N/A</v>
      </c>
      <c r="E18" s="53" t="e">
        <f t="shared" si="1"/>
        <v>#N/A</v>
      </c>
      <c r="F18" s="53"/>
      <c r="G18" s="53"/>
      <c r="H18" s="134">
        <v>2</v>
      </c>
      <c r="I18" s="134"/>
      <c r="J18" s="134"/>
      <c r="K18" s="134">
        <f t="shared" si="2"/>
        <v>2</v>
      </c>
      <c r="L18" s="21" t="s">
        <v>250</v>
      </c>
      <c r="M18" s="103">
        <v>6</v>
      </c>
    </row>
    <row r="19" spans="1:13" ht="12">
      <c r="A19" s="102" t="s">
        <v>186</v>
      </c>
      <c r="B19" s="134" t="e">
        <v>#N/A</v>
      </c>
      <c r="C19" s="134" t="e">
        <v>#N/A</v>
      </c>
      <c r="D19" s="53" t="e">
        <f t="shared" si="0"/>
        <v>#N/A</v>
      </c>
      <c r="E19" s="53" t="e">
        <f t="shared" si="1"/>
        <v>#N/A</v>
      </c>
      <c r="F19" s="53"/>
      <c r="G19" s="53"/>
      <c r="H19" s="134">
        <v>10</v>
      </c>
      <c r="I19" s="134"/>
      <c r="J19" s="134"/>
      <c r="K19" s="134">
        <f t="shared" si="2"/>
        <v>10</v>
      </c>
      <c r="L19" s="21"/>
      <c r="M19" s="103">
        <v>34</v>
      </c>
    </row>
    <row r="20" spans="1:13" ht="12">
      <c r="A20" s="102" t="s">
        <v>187</v>
      </c>
      <c r="B20" s="134">
        <v>7</v>
      </c>
      <c r="C20" s="134" t="e">
        <v>#N/A</v>
      </c>
      <c r="D20" s="53" t="e">
        <f t="shared" si="0"/>
        <v>#N/A</v>
      </c>
      <c r="E20" s="53">
        <f t="shared" si="1"/>
        <v>5.201712907143582</v>
      </c>
      <c r="F20" s="53">
        <v>5.202</v>
      </c>
      <c r="G20" s="53">
        <f>$D$157*F20</f>
        <v>4.4216999999999995</v>
      </c>
      <c r="H20" s="134">
        <v>0.792</v>
      </c>
      <c r="I20" s="134"/>
      <c r="J20" s="134"/>
      <c r="K20" s="134">
        <f t="shared" si="2"/>
        <v>2.6068499999999997</v>
      </c>
      <c r="L20" s="21"/>
      <c r="M20" s="103" t="s">
        <v>566</v>
      </c>
    </row>
    <row r="21" spans="1:13" ht="12">
      <c r="A21" s="102" t="s">
        <v>188</v>
      </c>
      <c r="B21" s="134" t="e">
        <v>#N/A</v>
      </c>
      <c r="C21" s="134" t="e">
        <v>#N/A</v>
      </c>
      <c r="D21" s="53" t="e">
        <f t="shared" si="0"/>
        <v>#N/A</v>
      </c>
      <c r="E21" s="53" t="e">
        <f t="shared" si="1"/>
        <v>#N/A</v>
      </c>
      <c r="F21" s="53"/>
      <c r="G21" s="53"/>
      <c r="H21" s="134">
        <v>0.5</v>
      </c>
      <c r="I21" s="134"/>
      <c r="J21" s="134"/>
      <c r="K21" s="134">
        <f t="shared" si="2"/>
        <v>0.5</v>
      </c>
      <c r="L21" s="21"/>
      <c r="M21" s="103">
        <v>36</v>
      </c>
    </row>
    <row r="22" spans="1:13" ht="12">
      <c r="A22" s="102" t="s">
        <v>189</v>
      </c>
      <c r="B22" s="134" t="e">
        <v>#N/A</v>
      </c>
      <c r="C22" s="134" t="e">
        <v>#N/A</v>
      </c>
      <c r="D22" s="53" t="e">
        <f t="shared" si="0"/>
        <v>#N/A</v>
      </c>
      <c r="E22" s="53" t="e">
        <f t="shared" si="1"/>
        <v>#N/A</v>
      </c>
      <c r="F22" s="53"/>
      <c r="G22" s="53"/>
      <c r="H22" s="134">
        <v>3.5</v>
      </c>
      <c r="I22" s="134">
        <f>2.205*0.318</f>
        <v>0.70119</v>
      </c>
      <c r="J22" s="134"/>
      <c r="K22" s="134">
        <f t="shared" si="2"/>
        <v>2.100595</v>
      </c>
      <c r="L22" s="21"/>
      <c r="M22" s="103" t="s">
        <v>488</v>
      </c>
    </row>
    <row r="23" spans="1:13" ht="12">
      <c r="A23" s="102" t="s">
        <v>190</v>
      </c>
      <c r="B23" s="134" t="e">
        <v>#N/A</v>
      </c>
      <c r="C23" s="134" t="e">
        <v>#N/A</v>
      </c>
      <c r="D23" s="53" t="e">
        <f t="shared" si="0"/>
        <v>#N/A</v>
      </c>
      <c r="E23" s="53" t="e">
        <f t="shared" si="1"/>
        <v>#N/A</v>
      </c>
      <c r="F23" s="53"/>
      <c r="G23" s="53"/>
      <c r="H23" s="134">
        <v>3.1</v>
      </c>
      <c r="I23" s="134"/>
      <c r="J23" s="134"/>
      <c r="K23" s="134">
        <f t="shared" si="2"/>
        <v>3.1</v>
      </c>
      <c r="L23" s="21"/>
      <c r="M23" s="103">
        <v>44</v>
      </c>
    </row>
    <row r="24" spans="1:13" ht="12">
      <c r="A24" s="102" t="s">
        <v>191</v>
      </c>
      <c r="B24" s="134" t="e">
        <v>#N/A</v>
      </c>
      <c r="C24" s="134" t="e">
        <v>#N/A</v>
      </c>
      <c r="D24" s="53" t="e">
        <f t="shared" si="0"/>
        <v>#N/A</v>
      </c>
      <c r="E24" s="53" t="e">
        <f t="shared" si="1"/>
        <v>#N/A</v>
      </c>
      <c r="F24" s="53"/>
      <c r="G24" s="53"/>
      <c r="H24" s="134">
        <v>2.8</v>
      </c>
      <c r="I24" s="134"/>
      <c r="J24" s="134"/>
      <c r="K24" s="134">
        <f t="shared" si="2"/>
        <v>2.8</v>
      </c>
      <c r="L24" s="21"/>
      <c r="M24" s="103">
        <v>44</v>
      </c>
    </row>
    <row r="25" spans="1:13" ht="12">
      <c r="A25" s="102" t="s">
        <v>192</v>
      </c>
      <c r="B25" s="134" t="e">
        <v>#N/A</v>
      </c>
      <c r="C25" s="134">
        <v>4.5</v>
      </c>
      <c r="D25" s="53" t="e">
        <f t="shared" si="0"/>
        <v>#N/A</v>
      </c>
      <c r="E25" s="53" t="e">
        <f t="shared" si="1"/>
        <v>#N/A</v>
      </c>
      <c r="F25" s="53">
        <v>4.5</v>
      </c>
      <c r="G25" s="53">
        <f>$D$157*F25</f>
        <v>3.8249999999999997</v>
      </c>
      <c r="H25" s="134"/>
      <c r="I25" s="134"/>
      <c r="J25" s="134"/>
      <c r="K25" s="134">
        <f t="shared" si="2"/>
        <v>3.8249999999999997</v>
      </c>
      <c r="L25" s="21"/>
      <c r="M25" s="103">
        <v>2</v>
      </c>
    </row>
    <row r="26" spans="1:13" ht="12">
      <c r="A26" s="102" t="s">
        <v>193</v>
      </c>
      <c r="B26" s="134">
        <v>7.5</v>
      </c>
      <c r="C26" s="134" t="e">
        <v>#N/A</v>
      </c>
      <c r="D26" s="53" t="e">
        <f t="shared" si="0"/>
        <v>#N/A</v>
      </c>
      <c r="E26" s="53">
        <f t="shared" si="1"/>
        <v>5.57326382908241</v>
      </c>
      <c r="F26" s="53">
        <v>5.475</v>
      </c>
      <c r="G26" s="53">
        <f>$D$157*F26</f>
        <v>4.65375</v>
      </c>
      <c r="H26" s="134"/>
      <c r="I26" s="134"/>
      <c r="J26" s="134"/>
      <c r="K26" s="134">
        <f t="shared" si="2"/>
        <v>4.65375</v>
      </c>
      <c r="L26" s="21" t="s">
        <v>251</v>
      </c>
      <c r="M26" s="103">
        <v>11</v>
      </c>
    </row>
    <row r="27" spans="1:13" ht="12">
      <c r="A27" s="102" t="s">
        <v>194</v>
      </c>
      <c r="B27" s="134">
        <v>4.25</v>
      </c>
      <c r="C27" s="134" t="e">
        <v>#N/A</v>
      </c>
      <c r="D27" s="53" t="e">
        <f t="shared" si="0"/>
        <v>#N/A</v>
      </c>
      <c r="E27" s="53">
        <f t="shared" si="1"/>
        <v>3.1581828364800324</v>
      </c>
      <c r="F27" s="53">
        <v>3.1025</v>
      </c>
      <c r="G27" s="53">
        <f>$D$157*F27</f>
        <v>2.637125</v>
      </c>
      <c r="H27" s="134"/>
      <c r="I27" s="134"/>
      <c r="J27" s="134"/>
      <c r="K27" s="134">
        <f t="shared" si="2"/>
        <v>2.637125</v>
      </c>
      <c r="L27" s="21" t="s">
        <v>251</v>
      </c>
      <c r="M27" s="103">
        <v>11</v>
      </c>
    </row>
    <row r="28" spans="1:13" ht="12">
      <c r="A28" s="102" t="s">
        <v>195</v>
      </c>
      <c r="B28" s="134" t="e">
        <v>#N/A</v>
      </c>
      <c r="C28" s="134" t="e">
        <v>#N/A</v>
      </c>
      <c r="D28" s="53" t="e">
        <f t="shared" si="0"/>
        <v>#N/A</v>
      </c>
      <c r="E28" s="53" t="e">
        <f t="shared" si="1"/>
        <v>#N/A</v>
      </c>
      <c r="F28" s="53"/>
      <c r="G28" s="53"/>
      <c r="H28" s="134">
        <f>2.607*1.25</f>
        <v>3.25875</v>
      </c>
      <c r="I28" s="134"/>
      <c r="J28" s="134"/>
      <c r="K28" s="134">
        <f t="shared" si="2"/>
        <v>3.25875</v>
      </c>
      <c r="L28" s="21"/>
      <c r="M28" s="103">
        <v>44</v>
      </c>
    </row>
    <row r="29" spans="1:13" ht="12">
      <c r="A29" s="102" t="s">
        <v>196</v>
      </c>
      <c r="B29" s="134" t="e">
        <v>#N/A</v>
      </c>
      <c r="C29" s="134">
        <v>2.2</v>
      </c>
      <c r="D29" s="53" t="e">
        <f t="shared" si="0"/>
        <v>#N/A</v>
      </c>
      <c r="E29" s="53" t="e">
        <f t="shared" si="1"/>
        <v>#N/A</v>
      </c>
      <c r="F29" s="53">
        <v>2.2</v>
      </c>
      <c r="G29" s="53">
        <f>$D$157*F29</f>
        <v>1.87</v>
      </c>
      <c r="H29" s="134"/>
      <c r="I29" s="134"/>
      <c r="J29" s="134"/>
      <c r="K29" s="134">
        <f t="shared" si="2"/>
        <v>1.87</v>
      </c>
      <c r="L29" s="21"/>
      <c r="M29" s="103">
        <v>2</v>
      </c>
    </row>
    <row r="30" spans="1:13" ht="12">
      <c r="A30" s="102" t="s">
        <v>197</v>
      </c>
      <c r="B30" s="134" t="e">
        <v>#N/A</v>
      </c>
      <c r="C30" s="134" t="e">
        <v>#N/A</v>
      </c>
      <c r="D30" s="53" t="e">
        <f t="shared" si="0"/>
        <v>#N/A</v>
      </c>
      <c r="E30" s="53" t="e">
        <f t="shared" si="1"/>
        <v>#N/A</v>
      </c>
      <c r="F30" s="53"/>
      <c r="G30" s="53"/>
      <c r="H30" s="134">
        <v>2</v>
      </c>
      <c r="I30" s="134">
        <f>2.205*0.834</f>
        <v>1.83897</v>
      </c>
      <c r="J30" s="134"/>
      <c r="K30" s="134">
        <f t="shared" si="2"/>
        <v>1.9194849999999999</v>
      </c>
      <c r="L30" s="21" t="s">
        <v>252</v>
      </c>
      <c r="M30" s="103" t="s">
        <v>487</v>
      </c>
    </row>
    <row r="31" spans="1:13" ht="12">
      <c r="A31" s="102" t="s">
        <v>198</v>
      </c>
      <c r="B31" s="134" t="e">
        <v>#N/A</v>
      </c>
      <c r="C31" s="134" t="e">
        <v>#N/A</v>
      </c>
      <c r="D31" s="53" t="e">
        <f t="shared" si="0"/>
        <v>#N/A</v>
      </c>
      <c r="E31" s="53" t="e">
        <f t="shared" si="1"/>
        <v>#N/A</v>
      </c>
      <c r="F31" s="53"/>
      <c r="G31" s="53"/>
      <c r="H31" s="134">
        <f>AVERAGE(K25:K30)</f>
        <v>3.0273516666666667</v>
      </c>
      <c r="I31" s="134"/>
      <c r="J31" s="134"/>
      <c r="K31" s="134">
        <f t="shared" si="2"/>
        <v>3.0273516666666667</v>
      </c>
      <c r="L31" s="21" t="s">
        <v>600</v>
      </c>
      <c r="M31" s="103"/>
    </row>
    <row r="32" spans="1:13" ht="12">
      <c r="A32" s="102" t="s">
        <v>199</v>
      </c>
      <c r="B32" s="134" t="e">
        <v>#N/A</v>
      </c>
      <c r="C32" s="134">
        <v>50</v>
      </c>
      <c r="D32" s="53" t="e">
        <f t="shared" si="0"/>
        <v>#N/A</v>
      </c>
      <c r="E32" s="53" t="e">
        <f t="shared" si="1"/>
        <v>#N/A</v>
      </c>
      <c r="F32" s="53">
        <v>50</v>
      </c>
      <c r="G32" s="53">
        <f>$D$157*F32</f>
        <v>42.5</v>
      </c>
      <c r="H32" s="134"/>
      <c r="I32" s="134"/>
      <c r="J32" s="134"/>
      <c r="K32" s="134">
        <f t="shared" si="2"/>
        <v>42.5</v>
      </c>
      <c r="L32" s="21"/>
      <c r="M32" s="103">
        <v>6</v>
      </c>
    </row>
    <row r="33" spans="1:13" ht="12">
      <c r="A33" s="102" t="s">
        <v>200</v>
      </c>
      <c r="B33" s="134" t="e">
        <v>#N/A</v>
      </c>
      <c r="C33" s="134" t="e">
        <v>#N/A</v>
      </c>
      <c r="D33" s="53" t="e">
        <f t="shared" si="0"/>
        <v>#N/A</v>
      </c>
      <c r="E33" s="53" t="e">
        <f t="shared" si="1"/>
        <v>#N/A</v>
      </c>
      <c r="F33" s="53"/>
      <c r="G33" s="53"/>
      <c r="H33" s="134">
        <v>10</v>
      </c>
      <c r="I33" s="134">
        <v>10</v>
      </c>
      <c r="J33" s="134"/>
      <c r="K33" s="134">
        <f t="shared" si="2"/>
        <v>10</v>
      </c>
      <c r="L33" s="21" t="s">
        <v>253</v>
      </c>
      <c r="M33" s="103" t="s">
        <v>262</v>
      </c>
    </row>
    <row r="34" spans="1:13" ht="12">
      <c r="A34" s="102" t="s">
        <v>201</v>
      </c>
      <c r="B34" s="134" t="e">
        <v>#N/A</v>
      </c>
      <c r="C34" s="134" t="e">
        <v>#N/A</v>
      </c>
      <c r="D34" s="53" t="e">
        <f aca="true" t="shared" si="3" ref="D34:D65">C34/B34</f>
        <v>#N/A</v>
      </c>
      <c r="E34" s="53" t="e">
        <f aca="true" t="shared" si="4" ref="E34:E65">$D$156*B34</f>
        <v>#N/A</v>
      </c>
      <c r="F34" s="53"/>
      <c r="G34" s="53"/>
      <c r="H34" s="134">
        <v>3.5</v>
      </c>
      <c r="I34" s="134">
        <v>4</v>
      </c>
      <c r="J34" s="134"/>
      <c r="K34" s="134">
        <f aca="true" t="shared" si="5" ref="K34:K65">AVERAGEA(G34:J34)</f>
        <v>3.75</v>
      </c>
      <c r="L34" s="21" t="s">
        <v>264</v>
      </c>
      <c r="M34" s="103" t="s">
        <v>263</v>
      </c>
    </row>
    <row r="35" spans="1:13" ht="12">
      <c r="A35" s="102" t="s">
        <v>202</v>
      </c>
      <c r="B35" s="134" t="e">
        <v>#N/A</v>
      </c>
      <c r="C35" s="134">
        <v>3</v>
      </c>
      <c r="D35" s="53" t="e">
        <f t="shared" si="3"/>
        <v>#N/A</v>
      </c>
      <c r="E35" s="53" t="e">
        <f t="shared" si="4"/>
        <v>#N/A</v>
      </c>
      <c r="F35" s="53">
        <v>3</v>
      </c>
      <c r="G35" s="53">
        <f>$D$157*F35</f>
        <v>2.55</v>
      </c>
      <c r="H35" s="134">
        <v>3</v>
      </c>
      <c r="I35" s="134">
        <v>0.75</v>
      </c>
      <c r="J35" s="134"/>
      <c r="K35" s="134">
        <f t="shared" si="5"/>
        <v>2.1</v>
      </c>
      <c r="L35" s="21" t="s">
        <v>264</v>
      </c>
      <c r="M35" s="103" t="s">
        <v>265</v>
      </c>
    </row>
    <row r="36" spans="1:13" ht="12">
      <c r="A36" s="102" t="s">
        <v>203</v>
      </c>
      <c r="B36" s="134">
        <v>7</v>
      </c>
      <c r="C36" s="134" t="e">
        <v>#N/A</v>
      </c>
      <c r="D36" s="53" t="e">
        <f t="shared" si="3"/>
        <v>#N/A</v>
      </c>
      <c r="E36" s="53">
        <f t="shared" si="4"/>
        <v>5.201712907143582</v>
      </c>
      <c r="F36" s="53">
        <v>5.11</v>
      </c>
      <c r="G36" s="53">
        <f>$D$157*F36</f>
        <v>4.343500000000001</v>
      </c>
      <c r="H36" s="134"/>
      <c r="I36" s="134"/>
      <c r="J36" s="134"/>
      <c r="K36" s="134">
        <f t="shared" si="5"/>
        <v>4.343500000000001</v>
      </c>
      <c r="L36" s="21"/>
      <c r="M36" s="103">
        <v>3</v>
      </c>
    </row>
    <row r="37" spans="1:13" ht="12">
      <c r="A37" s="102" t="s">
        <v>204</v>
      </c>
      <c r="B37" s="134">
        <v>5</v>
      </c>
      <c r="C37" s="134">
        <v>3</v>
      </c>
      <c r="D37" s="53">
        <f t="shared" si="3"/>
        <v>0.6</v>
      </c>
      <c r="E37" s="53">
        <f t="shared" si="4"/>
        <v>3.7155092193882733</v>
      </c>
      <c r="F37" s="53">
        <v>3.325</v>
      </c>
      <c r="G37" s="53">
        <f>$D$157*F37</f>
        <v>2.82625</v>
      </c>
      <c r="H37" s="134">
        <v>3</v>
      </c>
      <c r="I37" s="134">
        <v>0.75</v>
      </c>
      <c r="J37" s="134"/>
      <c r="K37" s="134">
        <f t="shared" si="5"/>
        <v>2.192083333333333</v>
      </c>
      <c r="L37" s="21" t="s">
        <v>264</v>
      </c>
      <c r="M37" s="103" t="s">
        <v>266</v>
      </c>
    </row>
    <row r="38" spans="1:13" ht="12">
      <c r="A38" s="102" t="s">
        <v>205</v>
      </c>
      <c r="B38" s="134" t="e">
        <v>#N/A</v>
      </c>
      <c r="C38" s="134">
        <v>46</v>
      </c>
      <c r="D38" s="53" t="e">
        <f t="shared" si="3"/>
        <v>#N/A</v>
      </c>
      <c r="E38" s="53" t="e">
        <f t="shared" si="4"/>
        <v>#N/A</v>
      </c>
      <c r="F38" s="53">
        <v>46</v>
      </c>
      <c r="G38" s="53">
        <f>$D$157*F38</f>
        <v>39.1</v>
      </c>
      <c r="H38" s="134"/>
      <c r="I38" s="134"/>
      <c r="J38" s="134"/>
      <c r="K38" s="134">
        <f t="shared" si="5"/>
        <v>39.1</v>
      </c>
      <c r="L38" s="21"/>
      <c r="M38" s="103">
        <v>2</v>
      </c>
    </row>
    <row r="39" spans="1:13" ht="12">
      <c r="A39" s="102" t="s">
        <v>206</v>
      </c>
      <c r="B39" s="134">
        <v>72</v>
      </c>
      <c r="C39" s="134" t="e">
        <v>#N/A</v>
      </c>
      <c r="D39" s="53" t="e">
        <f t="shared" si="3"/>
        <v>#N/A</v>
      </c>
      <c r="E39" s="53">
        <f t="shared" si="4"/>
        <v>53.50333275919114</v>
      </c>
      <c r="F39" s="53">
        <v>52.56</v>
      </c>
      <c r="G39" s="53"/>
      <c r="H39" s="134">
        <v>75</v>
      </c>
      <c r="I39" s="134">
        <v>6</v>
      </c>
      <c r="J39" s="134">
        <v>7.5</v>
      </c>
      <c r="K39" s="134">
        <f t="shared" si="5"/>
        <v>29.5</v>
      </c>
      <c r="L39" s="21" t="s">
        <v>416</v>
      </c>
      <c r="M39" s="103" t="s">
        <v>567</v>
      </c>
    </row>
    <row r="40" spans="1:13" ht="12">
      <c r="A40" s="102" t="s">
        <v>207</v>
      </c>
      <c r="B40" s="134" t="e">
        <v>#N/A</v>
      </c>
      <c r="C40" s="134" t="e">
        <v>#N/A</v>
      </c>
      <c r="D40" s="53" t="e">
        <f t="shared" si="3"/>
        <v>#N/A</v>
      </c>
      <c r="E40" s="53" t="e">
        <f t="shared" si="4"/>
        <v>#N/A</v>
      </c>
      <c r="F40" s="53"/>
      <c r="G40" s="53"/>
      <c r="H40" s="134">
        <v>0.625</v>
      </c>
      <c r="I40" s="134"/>
      <c r="J40" s="134"/>
      <c r="K40" s="134">
        <f t="shared" si="5"/>
        <v>0.625</v>
      </c>
      <c r="L40" s="21" t="s">
        <v>387</v>
      </c>
      <c r="M40" s="103">
        <v>6</v>
      </c>
    </row>
    <row r="41" spans="1:13" ht="12">
      <c r="A41" s="102" t="s">
        <v>208</v>
      </c>
      <c r="B41" s="134" t="e">
        <v>#N/A</v>
      </c>
      <c r="C41" s="134" t="e">
        <v>#N/A</v>
      </c>
      <c r="D41" s="53" t="e">
        <f t="shared" si="3"/>
        <v>#N/A</v>
      </c>
      <c r="E41" s="53" t="e">
        <f t="shared" si="4"/>
        <v>#N/A</v>
      </c>
      <c r="F41" s="53"/>
      <c r="G41" s="53"/>
      <c r="H41" s="134">
        <v>0.625</v>
      </c>
      <c r="I41" s="134"/>
      <c r="J41" s="134"/>
      <c r="K41" s="134">
        <f t="shared" si="5"/>
        <v>0.625</v>
      </c>
      <c r="L41" s="21" t="s">
        <v>387</v>
      </c>
      <c r="M41" s="103">
        <v>6</v>
      </c>
    </row>
    <row r="42" spans="1:13" ht="12">
      <c r="A42" s="102" t="s">
        <v>209</v>
      </c>
      <c r="B42" s="134" t="e">
        <v>#N/A</v>
      </c>
      <c r="C42" s="134" t="e">
        <v>#N/A</v>
      </c>
      <c r="D42" s="53" t="e">
        <f t="shared" si="3"/>
        <v>#N/A</v>
      </c>
      <c r="E42" s="53" t="e">
        <f t="shared" si="4"/>
        <v>#N/A</v>
      </c>
      <c r="F42" s="53"/>
      <c r="G42" s="53"/>
      <c r="H42" s="134">
        <v>0.625</v>
      </c>
      <c r="I42" s="134"/>
      <c r="J42" s="134"/>
      <c r="K42" s="134">
        <f t="shared" si="5"/>
        <v>0.625</v>
      </c>
      <c r="L42" s="21" t="s">
        <v>387</v>
      </c>
      <c r="M42" s="103">
        <v>6</v>
      </c>
    </row>
    <row r="43" spans="1:13" ht="12">
      <c r="A43" s="102" t="s">
        <v>210</v>
      </c>
      <c r="B43" s="134">
        <v>5.25</v>
      </c>
      <c r="C43" s="134" t="e">
        <v>#N/A</v>
      </c>
      <c r="D43" s="53" t="e">
        <f t="shared" si="3"/>
        <v>#N/A</v>
      </c>
      <c r="E43" s="53">
        <f t="shared" si="4"/>
        <v>3.901284680357687</v>
      </c>
      <c r="F43" s="53">
        <v>3.8325</v>
      </c>
      <c r="G43" s="53">
        <f>$D$157*F43</f>
        <v>3.257625</v>
      </c>
      <c r="H43" s="134"/>
      <c r="I43" s="134"/>
      <c r="J43" s="134"/>
      <c r="K43" s="134">
        <f t="shared" si="5"/>
        <v>3.257625</v>
      </c>
      <c r="L43" s="21"/>
      <c r="M43" s="103">
        <v>23</v>
      </c>
    </row>
    <row r="44" spans="1:13" ht="12">
      <c r="A44" s="102" t="s">
        <v>211</v>
      </c>
      <c r="B44" s="134">
        <v>105</v>
      </c>
      <c r="C44" s="134">
        <v>100</v>
      </c>
      <c r="D44" s="53">
        <f t="shared" si="3"/>
        <v>0.9523809523809523</v>
      </c>
      <c r="E44" s="53">
        <f t="shared" si="4"/>
        <v>78.02569360715374</v>
      </c>
      <c r="F44" s="53">
        <v>88.325</v>
      </c>
      <c r="G44" s="53">
        <f>$D$157*F44</f>
        <v>75.07625</v>
      </c>
      <c r="H44" s="134">
        <v>3.113</v>
      </c>
      <c r="I44" s="134"/>
      <c r="J44" s="134"/>
      <c r="K44" s="134">
        <f t="shared" si="5"/>
        <v>39.094625</v>
      </c>
      <c r="L44" s="21"/>
      <c r="M44" s="103" t="s">
        <v>551</v>
      </c>
    </row>
    <row r="45" spans="1:13" ht="12">
      <c r="A45" s="102" t="s">
        <v>212</v>
      </c>
      <c r="B45" s="134" t="e">
        <v>#N/A</v>
      </c>
      <c r="C45" s="134">
        <v>3</v>
      </c>
      <c r="D45" s="53" t="e">
        <f t="shared" si="3"/>
        <v>#N/A</v>
      </c>
      <c r="E45" s="53" t="e">
        <f t="shared" si="4"/>
        <v>#N/A</v>
      </c>
      <c r="F45" s="53">
        <v>3</v>
      </c>
      <c r="G45" s="53">
        <f>$D$157*F45</f>
        <v>2.55</v>
      </c>
      <c r="H45" s="134">
        <v>1.5</v>
      </c>
      <c r="I45" s="134">
        <v>0.772</v>
      </c>
      <c r="J45" s="134"/>
      <c r="K45" s="134">
        <f t="shared" si="5"/>
        <v>1.6073333333333333</v>
      </c>
      <c r="L45" s="21"/>
      <c r="M45" s="103" t="s">
        <v>552</v>
      </c>
    </row>
    <row r="46" spans="1:13" ht="12">
      <c r="A46" s="102" t="s">
        <v>213</v>
      </c>
      <c r="B46" s="134" t="e">
        <v>#N/A</v>
      </c>
      <c r="C46" s="134" t="e">
        <v>#N/A</v>
      </c>
      <c r="D46" s="53" t="e">
        <f t="shared" si="3"/>
        <v>#N/A</v>
      </c>
      <c r="E46" s="53" t="e">
        <f t="shared" si="4"/>
        <v>#N/A</v>
      </c>
      <c r="F46" s="53"/>
      <c r="G46" s="53"/>
      <c r="H46" s="134">
        <v>0.372</v>
      </c>
      <c r="I46" s="134"/>
      <c r="J46" s="134"/>
      <c r="K46" s="134">
        <f t="shared" si="5"/>
        <v>0.372</v>
      </c>
      <c r="L46" s="21"/>
      <c r="M46" s="103">
        <v>53</v>
      </c>
    </row>
    <row r="47" spans="1:13" ht="12">
      <c r="A47" s="102" t="s">
        <v>214</v>
      </c>
      <c r="B47" s="134">
        <v>90</v>
      </c>
      <c r="C47" s="134" t="e">
        <v>#N/A</v>
      </c>
      <c r="D47" s="53" t="e">
        <f t="shared" si="3"/>
        <v>#N/A</v>
      </c>
      <c r="E47" s="53">
        <f t="shared" si="4"/>
        <v>66.87916594898891</v>
      </c>
      <c r="F47" s="53">
        <v>65.7</v>
      </c>
      <c r="G47" s="53"/>
      <c r="H47" s="134">
        <v>11.5</v>
      </c>
      <c r="I47" s="134">
        <v>8.708</v>
      </c>
      <c r="J47" s="134">
        <v>8</v>
      </c>
      <c r="K47" s="134">
        <f t="shared" si="5"/>
        <v>9.402666666666667</v>
      </c>
      <c r="L47" s="21" t="s">
        <v>268</v>
      </c>
      <c r="M47" s="113" t="s">
        <v>568</v>
      </c>
    </row>
    <row r="48" spans="1:13" ht="12">
      <c r="A48" s="102" t="s">
        <v>215</v>
      </c>
      <c r="B48" s="134">
        <v>8.875</v>
      </c>
      <c r="C48" s="134" t="e">
        <v>#N/A</v>
      </c>
      <c r="D48" s="53" t="e">
        <f t="shared" si="3"/>
        <v>#N/A</v>
      </c>
      <c r="E48" s="53">
        <f t="shared" si="4"/>
        <v>6.595028864414185</v>
      </c>
      <c r="F48" s="53">
        <v>6.47875</v>
      </c>
      <c r="G48" s="53">
        <f>$D$157*F48</f>
        <v>5.506937499999999</v>
      </c>
      <c r="H48" s="134">
        <v>2</v>
      </c>
      <c r="I48" s="134">
        <v>1.022</v>
      </c>
      <c r="J48" s="134">
        <v>1.5</v>
      </c>
      <c r="K48" s="134">
        <f t="shared" si="5"/>
        <v>2.507234375</v>
      </c>
      <c r="L48" s="21"/>
      <c r="M48" s="113" t="s">
        <v>568</v>
      </c>
    </row>
    <row r="49" spans="1:13" ht="12">
      <c r="A49" s="102" t="s">
        <v>216</v>
      </c>
      <c r="B49" s="134" t="e">
        <v>#N/A</v>
      </c>
      <c r="C49" s="134" t="e">
        <v>#N/A</v>
      </c>
      <c r="D49" s="53" t="e">
        <f t="shared" si="3"/>
        <v>#N/A</v>
      </c>
      <c r="E49" s="53" t="e">
        <f t="shared" si="4"/>
        <v>#N/A</v>
      </c>
      <c r="F49" s="53"/>
      <c r="G49" s="53"/>
      <c r="H49" s="134">
        <v>0.657</v>
      </c>
      <c r="I49" s="134">
        <f>0.232*2.205</f>
        <v>0.51156</v>
      </c>
      <c r="J49" s="134"/>
      <c r="K49" s="134">
        <f t="shared" si="5"/>
        <v>0.58428</v>
      </c>
      <c r="L49" s="21"/>
      <c r="M49" s="103" t="s">
        <v>498</v>
      </c>
    </row>
    <row r="50" spans="1:13" ht="12">
      <c r="A50" s="102" t="s">
        <v>217</v>
      </c>
      <c r="B50" s="134" t="e">
        <v>#N/A</v>
      </c>
      <c r="C50" s="134" t="e">
        <v>#N/A</v>
      </c>
      <c r="D50" s="53" t="e">
        <f t="shared" si="3"/>
        <v>#N/A</v>
      </c>
      <c r="E50" s="53" t="e">
        <f t="shared" si="4"/>
        <v>#N/A</v>
      </c>
      <c r="F50" s="53"/>
      <c r="G50" s="53"/>
      <c r="H50" s="134">
        <v>1</v>
      </c>
      <c r="I50" s="134"/>
      <c r="J50" s="134"/>
      <c r="K50" s="134">
        <f t="shared" si="5"/>
        <v>1</v>
      </c>
      <c r="L50" s="21"/>
      <c r="M50" s="103">
        <v>19</v>
      </c>
    </row>
    <row r="51" spans="1:13" ht="12">
      <c r="A51" s="102" t="s">
        <v>218</v>
      </c>
      <c r="B51" s="134" t="e">
        <v>#N/A</v>
      </c>
      <c r="C51" s="134">
        <v>12</v>
      </c>
      <c r="D51" s="53" t="e">
        <f t="shared" si="3"/>
        <v>#N/A</v>
      </c>
      <c r="E51" s="53" t="e">
        <f t="shared" si="4"/>
        <v>#N/A</v>
      </c>
      <c r="F51" s="53">
        <v>12</v>
      </c>
      <c r="G51" s="53">
        <f>$D$157*F51</f>
        <v>10.2</v>
      </c>
      <c r="H51" s="134">
        <v>3</v>
      </c>
      <c r="I51" s="134"/>
      <c r="J51" s="134"/>
      <c r="K51" s="134">
        <f t="shared" si="5"/>
        <v>6.6</v>
      </c>
      <c r="L51" s="21" t="s">
        <v>271</v>
      </c>
      <c r="M51" s="103">
        <v>17</v>
      </c>
    </row>
    <row r="52" spans="1:13" ht="12">
      <c r="A52" s="102" t="s">
        <v>219</v>
      </c>
      <c r="B52" s="134" t="e">
        <v>#N/A</v>
      </c>
      <c r="C52" s="134" t="e">
        <v>#N/A</v>
      </c>
      <c r="D52" s="53" t="e">
        <f t="shared" si="3"/>
        <v>#N/A</v>
      </c>
      <c r="E52" s="53" t="e">
        <f t="shared" si="4"/>
        <v>#N/A</v>
      </c>
      <c r="F52" s="53"/>
      <c r="G52" s="53"/>
      <c r="H52" s="134">
        <v>2</v>
      </c>
      <c r="I52" s="134"/>
      <c r="J52" s="134"/>
      <c r="K52" s="134">
        <f t="shared" si="5"/>
        <v>2</v>
      </c>
      <c r="L52" s="21" t="s">
        <v>272</v>
      </c>
      <c r="M52" s="103">
        <v>5</v>
      </c>
    </row>
    <row r="53" spans="1:13" ht="12">
      <c r="A53" s="102" t="s">
        <v>220</v>
      </c>
      <c r="B53" s="134" t="e">
        <v>#N/A</v>
      </c>
      <c r="C53" s="134" t="e">
        <v>#N/A</v>
      </c>
      <c r="D53" s="53" t="e">
        <f t="shared" si="3"/>
        <v>#N/A</v>
      </c>
      <c r="E53" s="53" t="e">
        <f t="shared" si="4"/>
        <v>#N/A</v>
      </c>
      <c r="F53" s="53"/>
      <c r="G53" s="53"/>
      <c r="H53" s="134">
        <v>0.935</v>
      </c>
      <c r="I53" s="134">
        <v>0.92</v>
      </c>
      <c r="J53" s="134"/>
      <c r="K53" s="134">
        <f t="shared" si="5"/>
        <v>0.9275</v>
      </c>
      <c r="L53" s="21" t="s">
        <v>395</v>
      </c>
      <c r="M53" s="103" t="s">
        <v>553</v>
      </c>
    </row>
    <row r="54" spans="1:13" ht="12">
      <c r="A54" s="102" t="s">
        <v>221</v>
      </c>
      <c r="B54" s="134">
        <v>46.5</v>
      </c>
      <c r="C54" s="134">
        <v>35</v>
      </c>
      <c r="D54" s="53">
        <f t="shared" si="3"/>
        <v>0.7526881720430108</v>
      </c>
      <c r="E54" s="53">
        <f t="shared" si="4"/>
        <v>34.55423574031094</v>
      </c>
      <c r="F54" s="53">
        <v>34.4725</v>
      </c>
      <c r="G54" s="53">
        <f>$D$157*F54</f>
        <v>29.301624999999998</v>
      </c>
      <c r="H54" s="134"/>
      <c r="I54" s="134"/>
      <c r="J54" s="134"/>
      <c r="K54" s="134">
        <f t="shared" si="5"/>
        <v>29.301624999999998</v>
      </c>
      <c r="L54" s="21"/>
      <c r="M54" s="103" t="s">
        <v>273</v>
      </c>
    </row>
    <row r="55" spans="1:13" ht="12">
      <c r="A55" s="102" t="s">
        <v>222</v>
      </c>
      <c r="B55" s="134" t="e">
        <v>#N/A</v>
      </c>
      <c r="C55" s="134">
        <v>11</v>
      </c>
      <c r="D55" s="53" t="e">
        <f t="shared" si="3"/>
        <v>#N/A</v>
      </c>
      <c r="E55" s="53" t="e">
        <f t="shared" si="4"/>
        <v>#N/A</v>
      </c>
      <c r="F55" s="53">
        <v>11</v>
      </c>
      <c r="G55" s="53">
        <f>$D$157*F55</f>
        <v>9.35</v>
      </c>
      <c r="H55" s="134"/>
      <c r="I55" s="134"/>
      <c r="J55" s="134"/>
      <c r="K55" s="134">
        <f t="shared" si="5"/>
        <v>9.35</v>
      </c>
      <c r="L55" s="21"/>
      <c r="M55" s="103">
        <v>10</v>
      </c>
    </row>
    <row r="56" spans="1:13" ht="12">
      <c r="A56" s="102" t="s">
        <v>223</v>
      </c>
      <c r="B56" s="134">
        <v>24</v>
      </c>
      <c r="C56" s="134" t="e">
        <v>#N/A</v>
      </c>
      <c r="D56" s="53" t="e">
        <f t="shared" si="3"/>
        <v>#N/A</v>
      </c>
      <c r="E56" s="53">
        <f t="shared" si="4"/>
        <v>17.83444425306371</v>
      </c>
      <c r="F56" s="53">
        <v>17.52</v>
      </c>
      <c r="G56" s="53">
        <f>$D$157*F56</f>
        <v>14.892</v>
      </c>
      <c r="H56" s="134">
        <v>1.785</v>
      </c>
      <c r="I56" s="134"/>
      <c r="J56" s="134"/>
      <c r="K56" s="134">
        <f t="shared" si="5"/>
        <v>8.3385</v>
      </c>
      <c r="L56" s="21" t="s">
        <v>251</v>
      </c>
      <c r="M56" s="103" t="s">
        <v>549</v>
      </c>
    </row>
    <row r="57" spans="1:13" ht="12">
      <c r="A57" s="102" t="s">
        <v>224</v>
      </c>
      <c r="B57" s="134">
        <v>10.5</v>
      </c>
      <c r="C57" s="134" t="e">
        <v>#N/A</v>
      </c>
      <c r="D57" s="53" t="e">
        <f t="shared" si="3"/>
        <v>#N/A</v>
      </c>
      <c r="E57" s="53">
        <f t="shared" si="4"/>
        <v>7.802569360715374</v>
      </c>
      <c r="F57" s="53">
        <v>7.665</v>
      </c>
      <c r="G57" s="53">
        <f>$D$157*F57</f>
        <v>6.51525</v>
      </c>
      <c r="H57" s="134">
        <v>1.548</v>
      </c>
      <c r="I57" s="134"/>
      <c r="J57" s="134"/>
      <c r="K57" s="134">
        <f t="shared" si="5"/>
        <v>4.031625</v>
      </c>
      <c r="L57" s="21" t="s">
        <v>251</v>
      </c>
      <c r="M57" s="103" t="s">
        <v>549</v>
      </c>
    </row>
    <row r="58" spans="1:13" ht="12">
      <c r="A58" s="102" t="s">
        <v>225</v>
      </c>
      <c r="B58" s="134" t="e">
        <v>#N/A</v>
      </c>
      <c r="C58" s="134" t="e">
        <v>#N/A</v>
      </c>
      <c r="D58" s="53" t="e">
        <f t="shared" si="3"/>
        <v>#N/A</v>
      </c>
      <c r="E58" s="53" t="e">
        <f t="shared" si="4"/>
        <v>#N/A</v>
      </c>
      <c r="F58" s="53"/>
      <c r="G58" s="53"/>
      <c r="H58" s="134">
        <v>10</v>
      </c>
      <c r="I58" s="134">
        <v>1</v>
      </c>
      <c r="J58" s="134"/>
      <c r="K58" s="134">
        <f t="shared" si="5"/>
        <v>5.5</v>
      </c>
      <c r="L58" s="21" t="s">
        <v>387</v>
      </c>
      <c r="M58" s="103" t="s">
        <v>554</v>
      </c>
    </row>
    <row r="59" spans="1:13" ht="12">
      <c r="A59" s="102" t="s">
        <v>226</v>
      </c>
      <c r="B59" s="134" t="e">
        <v>#N/A</v>
      </c>
      <c r="C59" s="134" t="e">
        <v>#N/A</v>
      </c>
      <c r="D59" s="53" t="e">
        <f t="shared" si="3"/>
        <v>#N/A</v>
      </c>
      <c r="E59" s="53" t="e">
        <f t="shared" si="4"/>
        <v>#N/A</v>
      </c>
      <c r="F59" s="53"/>
      <c r="G59" s="53"/>
      <c r="H59" s="134">
        <v>5.3</v>
      </c>
      <c r="I59" s="134"/>
      <c r="J59" s="134"/>
      <c r="K59" s="134">
        <f t="shared" si="5"/>
        <v>5.3</v>
      </c>
      <c r="L59" s="21"/>
      <c r="M59" s="103">
        <v>37</v>
      </c>
    </row>
    <row r="60" spans="1:13" ht="12">
      <c r="A60" s="102" t="s">
        <v>227</v>
      </c>
      <c r="B60" s="134">
        <v>7.375</v>
      </c>
      <c r="C60" s="134" t="e">
        <v>#N/A</v>
      </c>
      <c r="D60" s="53" t="e">
        <f t="shared" si="3"/>
        <v>#N/A</v>
      </c>
      <c r="E60" s="53">
        <f t="shared" si="4"/>
        <v>5.480376098597703</v>
      </c>
      <c r="F60" s="53">
        <v>5.38375</v>
      </c>
      <c r="G60" s="53">
        <f>$D$157*F60</f>
        <v>4.5761875</v>
      </c>
      <c r="H60" s="134">
        <v>1.281</v>
      </c>
      <c r="I60" s="134"/>
      <c r="J60" s="134"/>
      <c r="K60" s="134">
        <f t="shared" si="5"/>
        <v>2.9285937499999997</v>
      </c>
      <c r="L60" s="21" t="s">
        <v>251</v>
      </c>
      <c r="M60" s="103" t="s">
        <v>549</v>
      </c>
    </row>
    <row r="61" spans="1:13" ht="12">
      <c r="A61" s="102" t="s">
        <v>228</v>
      </c>
      <c r="B61" s="134" t="e">
        <v>#N/A</v>
      </c>
      <c r="C61" s="134" t="e">
        <v>#N/A</v>
      </c>
      <c r="D61" s="53" t="e">
        <f t="shared" si="3"/>
        <v>#N/A</v>
      </c>
      <c r="E61" s="53" t="e">
        <f t="shared" si="4"/>
        <v>#N/A</v>
      </c>
      <c r="F61" s="53"/>
      <c r="G61" s="53"/>
      <c r="H61" s="134">
        <v>1.217</v>
      </c>
      <c r="I61" s="134"/>
      <c r="J61" s="134"/>
      <c r="K61" s="134">
        <f t="shared" si="5"/>
        <v>1.217</v>
      </c>
      <c r="L61" s="21" t="s">
        <v>397</v>
      </c>
      <c r="M61" s="103">
        <v>53</v>
      </c>
    </row>
    <row r="62" spans="1:13" ht="12">
      <c r="A62" s="102" t="s">
        <v>229</v>
      </c>
      <c r="B62" s="134">
        <v>126</v>
      </c>
      <c r="C62" s="134">
        <v>100</v>
      </c>
      <c r="D62" s="53">
        <f t="shared" si="3"/>
        <v>0.7936507936507936</v>
      </c>
      <c r="E62" s="53">
        <f t="shared" si="4"/>
        <v>93.63083232858449</v>
      </c>
      <c r="F62" s="53">
        <v>95.99</v>
      </c>
      <c r="G62" s="53"/>
      <c r="H62" s="134">
        <v>25</v>
      </c>
      <c r="I62" s="134"/>
      <c r="J62" s="134"/>
      <c r="K62" s="134">
        <f t="shared" si="5"/>
        <v>25</v>
      </c>
      <c r="L62" s="21"/>
      <c r="M62" s="103" t="s">
        <v>419</v>
      </c>
    </row>
    <row r="63" spans="1:13" ht="12">
      <c r="A63" s="102" t="s">
        <v>230</v>
      </c>
      <c r="B63" s="134">
        <v>126</v>
      </c>
      <c r="C63" s="134">
        <v>50</v>
      </c>
      <c r="D63" s="53">
        <f t="shared" si="3"/>
        <v>0.3968253968253968</v>
      </c>
      <c r="E63" s="53">
        <f t="shared" si="4"/>
        <v>93.63083232858449</v>
      </c>
      <c r="F63" s="53">
        <v>70.99</v>
      </c>
      <c r="G63" s="53"/>
      <c r="H63" s="134">
        <v>15</v>
      </c>
      <c r="I63" s="134">
        <v>20</v>
      </c>
      <c r="J63" s="134"/>
      <c r="K63" s="134">
        <f t="shared" si="5"/>
        <v>17.5</v>
      </c>
      <c r="L63" s="21"/>
      <c r="M63" s="103" t="s">
        <v>569</v>
      </c>
    </row>
    <row r="64" spans="1:13" ht="12">
      <c r="A64" s="102" t="s">
        <v>231</v>
      </c>
      <c r="B64" s="134">
        <v>20</v>
      </c>
      <c r="C64" s="134" t="e">
        <v>#N/A</v>
      </c>
      <c r="D64" s="53" t="e">
        <f t="shared" si="3"/>
        <v>#N/A</v>
      </c>
      <c r="E64" s="53">
        <f t="shared" si="4"/>
        <v>14.862036877553093</v>
      </c>
      <c r="F64" s="53">
        <v>14.6</v>
      </c>
      <c r="G64" s="53">
        <f>$D$157*F64</f>
        <v>12.41</v>
      </c>
      <c r="H64" s="134">
        <v>15</v>
      </c>
      <c r="I64" s="134"/>
      <c r="J64" s="134"/>
      <c r="K64" s="134">
        <f t="shared" si="5"/>
        <v>13.705</v>
      </c>
      <c r="L64" s="21" t="s">
        <v>422</v>
      </c>
      <c r="M64" s="103" t="s">
        <v>421</v>
      </c>
    </row>
    <row r="65" spans="1:13" ht="12">
      <c r="A65" s="102" t="s">
        <v>232</v>
      </c>
      <c r="B65" s="134">
        <v>6.4</v>
      </c>
      <c r="C65" s="134" t="e">
        <v>#N/A</v>
      </c>
      <c r="D65" s="53" t="e">
        <f t="shared" si="3"/>
        <v>#N/A</v>
      </c>
      <c r="E65" s="53">
        <f t="shared" si="4"/>
        <v>4.75585180081699</v>
      </c>
      <c r="F65" s="53">
        <v>4.672</v>
      </c>
      <c r="G65" s="53">
        <f>$D$157*F65</f>
        <v>3.9711999999999996</v>
      </c>
      <c r="H65" s="134"/>
      <c r="I65" s="134"/>
      <c r="J65" s="134"/>
      <c r="K65" s="134">
        <f t="shared" si="5"/>
        <v>3.9711999999999996</v>
      </c>
      <c r="L65" s="21" t="s">
        <v>251</v>
      </c>
      <c r="M65" s="103">
        <v>11</v>
      </c>
    </row>
    <row r="66" spans="1:13" ht="12">
      <c r="A66" s="102" t="s">
        <v>233</v>
      </c>
      <c r="B66" s="134" t="e">
        <v>#N/A</v>
      </c>
      <c r="C66" s="134" t="e">
        <v>#N/A</v>
      </c>
      <c r="D66" s="53" t="e">
        <f aca="true" t="shared" si="6" ref="D66:D87">C66/B66</f>
        <v>#N/A</v>
      </c>
      <c r="E66" s="53" t="e">
        <f aca="true" t="shared" si="7" ref="E66:E87">$D$156*B66</f>
        <v>#N/A</v>
      </c>
      <c r="F66" s="53"/>
      <c r="G66" s="53"/>
      <c r="H66" s="134">
        <v>5</v>
      </c>
      <c r="I66" s="134"/>
      <c r="J66" s="134"/>
      <c r="K66" s="134">
        <f aca="true" t="shared" si="8" ref="K66:K97">AVERAGEA(G66:J66)</f>
        <v>5</v>
      </c>
      <c r="L66" s="21"/>
      <c r="M66" s="103" t="s">
        <v>566</v>
      </c>
    </row>
    <row r="67" spans="1:13" ht="12">
      <c r="A67" s="102" t="s">
        <v>234</v>
      </c>
      <c r="B67" s="134">
        <v>20</v>
      </c>
      <c r="C67" s="134">
        <v>18.5</v>
      </c>
      <c r="D67" s="53">
        <f t="shared" si="6"/>
        <v>0.925</v>
      </c>
      <c r="E67" s="53">
        <f t="shared" si="7"/>
        <v>14.862036877553093</v>
      </c>
      <c r="F67" s="53">
        <v>16.55</v>
      </c>
      <c r="G67" s="53">
        <f>$D$157*F67</f>
        <v>14.0675</v>
      </c>
      <c r="H67" s="134">
        <v>9</v>
      </c>
      <c r="I67" s="134"/>
      <c r="J67" s="134"/>
      <c r="K67" s="134">
        <f t="shared" si="8"/>
        <v>11.533750000000001</v>
      </c>
      <c r="L67" s="21" t="s">
        <v>542</v>
      </c>
      <c r="M67" s="103" t="s">
        <v>570</v>
      </c>
    </row>
    <row r="68" spans="1:13" ht="12">
      <c r="A68" s="102" t="s">
        <v>235</v>
      </c>
      <c r="B68" s="134" t="e">
        <v>#N/A</v>
      </c>
      <c r="C68" s="134" t="e">
        <v>#N/A</v>
      </c>
      <c r="D68" s="53" t="e">
        <f t="shared" si="6"/>
        <v>#N/A</v>
      </c>
      <c r="E68" s="53" t="e">
        <f t="shared" si="7"/>
        <v>#N/A</v>
      </c>
      <c r="F68" s="53"/>
      <c r="G68" s="53"/>
      <c r="H68" s="134">
        <v>0.2755731922398589</v>
      </c>
      <c r="I68" s="134">
        <v>0.085</v>
      </c>
      <c r="J68" s="134"/>
      <c r="K68" s="134">
        <f t="shared" si="8"/>
        <v>0.18028659611992945</v>
      </c>
      <c r="L68" s="21" t="s">
        <v>545</v>
      </c>
      <c r="M68" s="103" t="s">
        <v>555</v>
      </c>
    </row>
    <row r="69" spans="1:13" ht="12">
      <c r="A69" s="102" t="s">
        <v>236</v>
      </c>
      <c r="B69" s="134" t="e">
        <v>#N/A</v>
      </c>
      <c r="C69" s="134" t="e">
        <v>#N/A</v>
      </c>
      <c r="D69" s="53" t="e">
        <f t="shared" si="6"/>
        <v>#N/A</v>
      </c>
      <c r="E69" s="53" t="e">
        <f t="shared" si="7"/>
        <v>#N/A</v>
      </c>
      <c r="F69" s="53"/>
      <c r="G69" s="53"/>
      <c r="H69" s="134">
        <v>0.2755731922398589</v>
      </c>
      <c r="I69" s="134">
        <v>0.1040625</v>
      </c>
      <c r="J69" s="134"/>
      <c r="K69" s="134">
        <f t="shared" si="8"/>
        <v>0.18981784611992944</v>
      </c>
      <c r="L69" s="21" t="s">
        <v>427</v>
      </c>
      <c r="M69" s="103" t="s">
        <v>428</v>
      </c>
    </row>
    <row r="70" spans="1:13" ht="12">
      <c r="A70" s="102" t="s">
        <v>237</v>
      </c>
      <c r="B70" s="134" t="e">
        <v>#N/A</v>
      </c>
      <c r="C70" s="134">
        <v>4</v>
      </c>
      <c r="D70" s="53" t="e">
        <f t="shared" si="6"/>
        <v>#N/A</v>
      </c>
      <c r="E70" s="53" t="e">
        <f t="shared" si="7"/>
        <v>#N/A</v>
      </c>
      <c r="F70" s="53">
        <v>4</v>
      </c>
      <c r="G70" s="53">
        <f>$D$157*F70</f>
        <v>3.4</v>
      </c>
      <c r="H70" s="134">
        <v>2.9</v>
      </c>
      <c r="I70" s="134">
        <v>0.424</v>
      </c>
      <c r="J70" s="134"/>
      <c r="K70" s="134">
        <f t="shared" si="8"/>
        <v>2.2413333333333334</v>
      </c>
      <c r="L70" s="21" t="s">
        <v>429</v>
      </c>
      <c r="M70" s="103" t="s">
        <v>556</v>
      </c>
    </row>
    <row r="71" spans="1:13" ht="12">
      <c r="A71" s="102" t="s">
        <v>238</v>
      </c>
      <c r="B71" s="134" t="e">
        <v>#N/A</v>
      </c>
      <c r="C71" s="134">
        <v>8</v>
      </c>
      <c r="D71" s="53" t="e">
        <f t="shared" si="6"/>
        <v>#N/A</v>
      </c>
      <c r="E71" s="53" t="e">
        <f t="shared" si="7"/>
        <v>#N/A</v>
      </c>
      <c r="F71" s="53">
        <v>8</v>
      </c>
      <c r="G71" s="53">
        <f>$D$157*F71</f>
        <v>6.8</v>
      </c>
      <c r="H71" s="134">
        <v>2</v>
      </c>
      <c r="I71" s="134">
        <v>0.431</v>
      </c>
      <c r="J71" s="134"/>
      <c r="K71" s="134">
        <f t="shared" si="8"/>
        <v>3.077</v>
      </c>
      <c r="L71" s="21"/>
      <c r="M71" s="103" t="s">
        <v>557</v>
      </c>
    </row>
    <row r="72" spans="1:13" ht="12">
      <c r="A72" s="102" t="s">
        <v>239</v>
      </c>
      <c r="B72" s="134" t="e">
        <v>#N/A</v>
      </c>
      <c r="C72" s="134" t="e">
        <v>#N/A</v>
      </c>
      <c r="D72" s="53" t="e">
        <f t="shared" si="6"/>
        <v>#N/A</v>
      </c>
      <c r="E72" s="53" t="e">
        <f t="shared" si="7"/>
        <v>#N/A</v>
      </c>
      <c r="F72" s="53"/>
      <c r="G72" s="53"/>
      <c r="H72" s="134">
        <v>37.5</v>
      </c>
      <c r="I72" s="134"/>
      <c r="J72" s="134"/>
      <c r="K72" s="134">
        <f t="shared" si="8"/>
        <v>37.5</v>
      </c>
      <c r="L72" s="21"/>
      <c r="M72" s="103">
        <v>39</v>
      </c>
    </row>
    <row r="73" spans="1:13" ht="12">
      <c r="A73" s="102" t="s">
        <v>240</v>
      </c>
      <c r="B73" s="134" t="e">
        <v>#N/A</v>
      </c>
      <c r="C73" s="134">
        <v>30</v>
      </c>
      <c r="D73" s="53" t="e">
        <f t="shared" si="6"/>
        <v>#N/A</v>
      </c>
      <c r="E73" s="53" t="e">
        <f t="shared" si="7"/>
        <v>#N/A</v>
      </c>
      <c r="F73" s="53">
        <v>30</v>
      </c>
      <c r="G73" s="53">
        <f>$D$157*F73</f>
        <v>25.5</v>
      </c>
      <c r="H73" s="134">
        <v>3</v>
      </c>
      <c r="I73" s="134"/>
      <c r="J73" s="134"/>
      <c r="K73" s="134">
        <f t="shared" si="8"/>
        <v>14.25</v>
      </c>
      <c r="L73" s="21" t="s">
        <v>434</v>
      </c>
      <c r="M73" s="103" t="s">
        <v>433</v>
      </c>
    </row>
    <row r="74" spans="1:13" ht="12">
      <c r="A74" s="102" t="s">
        <v>241</v>
      </c>
      <c r="B74" s="134" t="e">
        <v>#N/A</v>
      </c>
      <c r="C74" s="134">
        <v>16</v>
      </c>
      <c r="D74" s="53" t="e">
        <f t="shared" si="6"/>
        <v>#N/A</v>
      </c>
      <c r="E74" s="53" t="e">
        <f t="shared" si="7"/>
        <v>#N/A</v>
      </c>
      <c r="F74" s="53">
        <v>16</v>
      </c>
      <c r="G74" s="53">
        <f>$D$157*F74</f>
        <v>13.6</v>
      </c>
      <c r="H74" s="134">
        <v>3</v>
      </c>
      <c r="I74" s="134">
        <v>0.419</v>
      </c>
      <c r="J74" s="134"/>
      <c r="K74" s="134">
        <f t="shared" si="8"/>
        <v>5.673000000000001</v>
      </c>
      <c r="L74" s="21"/>
      <c r="M74" s="103" t="s">
        <v>558</v>
      </c>
    </row>
    <row r="75" spans="1:13" ht="12">
      <c r="A75" s="102" t="s">
        <v>546</v>
      </c>
      <c r="B75" s="134" t="e">
        <v>#N/A</v>
      </c>
      <c r="C75" s="134" t="e">
        <v>#N/A</v>
      </c>
      <c r="D75" s="53" t="e">
        <f t="shared" si="6"/>
        <v>#N/A</v>
      </c>
      <c r="E75" s="53" t="e">
        <f t="shared" si="7"/>
        <v>#N/A</v>
      </c>
      <c r="F75" s="53"/>
      <c r="G75" s="53"/>
      <c r="H75" s="134">
        <v>1</v>
      </c>
      <c r="I75" s="134">
        <v>0.447</v>
      </c>
      <c r="J75" s="134"/>
      <c r="K75" s="134">
        <f t="shared" si="8"/>
        <v>0.7235</v>
      </c>
      <c r="L75" s="21"/>
      <c r="M75" s="103" t="s">
        <v>559</v>
      </c>
    </row>
    <row r="76" spans="1:13" ht="12">
      <c r="A76" s="102" t="s">
        <v>122</v>
      </c>
      <c r="B76" s="134" t="e">
        <v>#N/A</v>
      </c>
      <c r="C76" s="134" t="e">
        <v>#N/A</v>
      </c>
      <c r="D76" s="53" t="e">
        <f t="shared" si="6"/>
        <v>#N/A</v>
      </c>
      <c r="E76" s="53" t="e">
        <f t="shared" si="7"/>
        <v>#N/A</v>
      </c>
      <c r="F76" s="53"/>
      <c r="G76" s="53"/>
      <c r="H76" s="134">
        <v>4</v>
      </c>
      <c r="I76" s="134"/>
      <c r="J76" s="134"/>
      <c r="K76" s="134">
        <f t="shared" si="8"/>
        <v>4</v>
      </c>
      <c r="L76" s="21" t="s">
        <v>435</v>
      </c>
      <c r="M76" s="103">
        <v>6</v>
      </c>
    </row>
    <row r="77" spans="1:13" ht="12">
      <c r="A77" s="102" t="s">
        <v>123</v>
      </c>
      <c r="B77" s="134" t="e">
        <v>#N/A</v>
      </c>
      <c r="C77" s="134" t="e">
        <v>#N/A</v>
      </c>
      <c r="D77" s="53" t="e">
        <f t="shared" si="6"/>
        <v>#N/A</v>
      </c>
      <c r="E77" s="53" t="e">
        <f t="shared" si="7"/>
        <v>#N/A</v>
      </c>
      <c r="F77" s="53"/>
      <c r="G77" s="53"/>
      <c r="H77" s="134">
        <v>4</v>
      </c>
      <c r="I77" s="134">
        <v>1.5</v>
      </c>
      <c r="J77" s="134"/>
      <c r="K77" s="134">
        <f t="shared" si="8"/>
        <v>2.75</v>
      </c>
      <c r="L77" s="21" t="s">
        <v>435</v>
      </c>
      <c r="M77" s="103" t="s">
        <v>571</v>
      </c>
    </row>
    <row r="78" spans="1:13" ht="12">
      <c r="A78" s="102" t="s">
        <v>124</v>
      </c>
      <c r="B78" s="134" t="e">
        <v>#N/A</v>
      </c>
      <c r="C78" s="134" t="e">
        <v>#N/A</v>
      </c>
      <c r="D78" s="53" t="e">
        <f t="shared" si="6"/>
        <v>#N/A</v>
      </c>
      <c r="E78" s="53" t="e">
        <f t="shared" si="7"/>
        <v>#N/A</v>
      </c>
      <c r="F78" s="53"/>
      <c r="G78" s="53"/>
      <c r="H78" s="134">
        <v>25</v>
      </c>
      <c r="I78" s="134">
        <v>15</v>
      </c>
      <c r="J78" s="134">
        <f>2.205*15.071</f>
        <v>33.231555</v>
      </c>
      <c r="K78" s="134">
        <f t="shared" si="8"/>
        <v>24.410518333333332</v>
      </c>
      <c r="L78" s="21"/>
      <c r="M78" s="103" t="s">
        <v>490</v>
      </c>
    </row>
    <row r="79" spans="1:13" ht="12">
      <c r="A79" s="102" t="s">
        <v>125</v>
      </c>
      <c r="B79" s="134" t="e">
        <v>#N/A</v>
      </c>
      <c r="C79" s="134" t="e">
        <v>#N/A</v>
      </c>
      <c r="D79" s="53" t="e">
        <f t="shared" si="6"/>
        <v>#N/A</v>
      </c>
      <c r="E79" s="53" t="e">
        <f t="shared" si="7"/>
        <v>#N/A</v>
      </c>
      <c r="F79" s="53"/>
      <c r="G79" s="53"/>
      <c r="H79" s="134">
        <v>35</v>
      </c>
      <c r="I79" s="134"/>
      <c r="J79" s="134"/>
      <c r="K79" s="134">
        <f t="shared" si="8"/>
        <v>35</v>
      </c>
      <c r="L79" s="21" t="s">
        <v>601</v>
      </c>
      <c r="M79" s="103">
        <v>3</v>
      </c>
    </row>
    <row r="80" spans="1:13" ht="12">
      <c r="A80" s="102" t="s">
        <v>126</v>
      </c>
      <c r="B80" s="134" t="e">
        <v>#N/A</v>
      </c>
      <c r="C80" s="134" t="e">
        <v>#N/A</v>
      </c>
      <c r="D80" s="53" t="e">
        <f t="shared" si="6"/>
        <v>#N/A</v>
      </c>
      <c r="E80" s="53" t="e">
        <f t="shared" si="7"/>
        <v>#N/A</v>
      </c>
      <c r="F80" s="53"/>
      <c r="G80" s="53"/>
      <c r="H80" s="134">
        <v>4</v>
      </c>
      <c r="I80" s="134">
        <v>1.267</v>
      </c>
      <c r="J80" s="134"/>
      <c r="K80" s="134">
        <f t="shared" si="8"/>
        <v>2.6334999999999997</v>
      </c>
      <c r="L80" s="21" t="s">
        <v>387</v>
      </c>
      <c r="M80" s="103" t="s">
        <v>560</v>
      </c>
    </row>
    <row r="81" spans="1:13" ht="12">
      <c r="A81" s="102" t="s">
        <v>127</v>
      </c>
      <c r="B81" s="134" t="e">
        <v>#N/A</v>
      </c>
      <c r="C81" s="134" t="e">
        <v>#N/A</v>
      </c>
      <c r="D81" s="53" t="e">
        <f t="shared" si="6"/>
        <v>#N/A</v>
      </c>
      <c r="E81" s="53" t="e">
        <f t="shared" si="7"/>
        <v>#N/A</v>
      </c>
      <c r="F81" s="53"/>
      <c r="G81" s="53"/>
      <c r="H81" s="134">
        <v>30</v>
      </c>
      <c r="I81" s="134">
        <v>96</v>
      </c>
      <c r="J81" s="134"/>
      <c r="K81" s="134">
        <f t="shared" si="8"/>
        <v>63</v>
      </c>
      <c r="L81" s="21" t="s">
        <v>602</v>
      </c>
      <c r="M81" s="103" t="s">
        <v>603</v>
      </c>
    </row>
    <row r="82" spans="1:13" ht="12">
      <c r="A82" s="102" t="s">
        <v>128</v>
      </c>
      <c r="B82" s="134" t="e">
        <v>#N/A</v>
      </c>
      <c r="C82" s="134" t="e">
        <v>#N/A</v>
      </c>
      <c r="D82" s="53" t="e">
        <f t="shared" si="6"/>
        <v>#N/A</v>
      </c>
      <c r="E82" s="53" t="e">
        <f t="shared" si="7"/>
        <v>#N/A</v>
      </c>
      <c r="F82" s="53"/>
      <c r="G82" s="53"/>
      <c r="H82" s="134">
        <v>0.2</v>
      </c>
      <c r="I82" s="134">
        <v>0.074</v>
      </c>
      <c r="J82" s="134"/>
      <c r="K82" s="134">
        <f t="shared" si="8"/>
        <v>0.137</v>
      </c>
      <c r="L82" s="21" t="s">
        <v>396</v>
      </c>
      <c r="M82" s="103" t="s">
        <v>554</v>
      </c>
    </row>
    <row r="83" spans="1:13" ht="12">
      <c r="A83" s="102" t="s">
        <v>129</v>
      </c>
      <c r="B83" s="134" t="e">
        <v>#N/A</v>
      </c>
      <c r="C83" s="134">
        <v>20</v>
      </c>
      <c r="D83" s="53" t="e">
        <f t="shared" si="6"/>
        <v>#N/A</v>
      </c>
      <c r="E83" s="53" t="e">
        <f t="shared" si="7"/>
        <v>#N/A</v>
      </c>
      <c r="F83" s="53">
        <v>20</v>
      </c>
      <c r="G83" s="53">
        <f>$D$157*F83</f>
        <v>17</v>
      </c>
      <c r="H83" s="134">
        <v>5.5</v>
      </c>
      <c r="I83" s="134">
        <v>1.529</v>
      </c>
      <c r="J83" s="134"/>
      <c r="K83" s="134">
        <f t="shared" si="8"/>
        <v>8.009666666666666</v>
      </c>
      <c r="L83" s="21" t="s">
        <v>387</v>
      </c>
      <c r="M83" s="103" t="s">
        <v>561</v>
      </c>
    </row>
    <row r="84" spans="1:13" ht="12">
      <c r="A84" s="102" t="s">
        <v>130</v>
      </c>
      <c r="B84" s="134">
        <v>7</v>
      </c>
      <c r="C84" s="134" t="e">
        <v>#N/A</v>
      </c>
      <c r="D84" s="53" t="e">
        <f t="shared" si="6"/>
        <v>#N/A</v>
      </c>
      <c r="E84" s="53">
        <f t="shared" si="7"/>
        <v>5.201712907143582</v>
      </c>
      <c r="F84" s="53">
        <v>5.11</v>
      </c>
      <c r="G84" s="53">
        <f>$D$157*F84</f>
        <v>4.343500000000001</v>
      </c>
      <c r="H84" s="134">
        <v>1</v>
      </c>
      <c r="I84" s="134">
        <v>0.892</v>
      </c>
      <c r="J84" s="134"/>
      <c r="K84" s="134">
        <f t="shared" si="8"/>
        <v>2.0785000000000005</v>
      </c>
      <c r="L84" s="21" t="s">
        <v>436</v>
      </c>
      <c r="M84" s="103" t="s">
        <v>562</v>
      </c>
    </row>
    <row r="85" spans="1:13" ht="12">
      <c r="A85" s="102" t="s">
        <v>131</v>
      </c>
      <c r="B85" s="134">
        <v>10</v>
      </c>
      <c r="C85" s="134" t="e">
        <v>#N/A</v>
      </c>
      <c r="D85" s="53" t="e">
        <f t="shared" si="6"/>
        <v>#N/A</v>
      </c>
      <c r="E85" s="53">
        <f t="shared" si="7"/>
        <v>7.4310184387765466</v>
      </c>
      <c r="F85" s="53">
        <v>7.3</v>
      </c>
      <c r="G85" s="53">
        <f>$D$157*F85</f>
        <v>6.205</v>
      </c>
      <c r="H85" s="134"/>
      <c r="I85" s="134"/>
      <c r="J85" s="134"/>
      <c r="K85" s="134">
        <f t="shared" si="8"/>
        <v>6.205</v>
      </c>
      <c r="L85" s="21" t="s">
        <v>541</v>
      </c>
      <c r="M85" s="103">
        <v>8</v>
      </c>
    </row>
    <row r="86" spans="1:13" ht="12">
      <c r="A86" s="102" t="s">
        <v>132</v>
      </c>
      <c r="B86" s="134" t="e">
        <v>#N/A</v>
      </c>
      <c r="C86" s="134" t="e">
        <v>#N/A</v>
      </c>
      <c r="D86" s="53" t="e">
        <f t="shared" si="6"/>
        <v>#N/A</v>
      </c>
      <c r="E86" s="53" t="e">
        <f t="shared" si="7"/>
        <v>#N/A</v>
      </c>
      <c r="F86" s="53"/>
      <c r="G86" s="53"/>
      <c r="H86" s="134">
        <v>70</v>
      </c>
      <c r="I86" s="134">
        <v>30</v>
      </c>
      <c r="J86" s="134"/>
      <c r="K86" s="134">
        <f t="shared" si="8"/>
        <v>50</v>
      </c>
      <c r="L86" s="21" t="s">
        <v>604</v>
      </c>
      <c r="M86" s="103" t="s">
        <v>605</v>
      </c>
    </row>
    <row r="87" spans="1:13" ht="12">
      <c r="A87" s="102" t="s">
        <v>133</v>
      </c>
      <c r="B87" s="134" t="e">
        <v>#N/A</v>
      </c>
      <c r="C87" s="134">
        <v>1.5</v>
      </c>
      <c r="D87" s="53" t="e">
        <f t="shared" si="6"/>
        <v>#N/A</v>
      </c>
      <c r="E87" s="53" t="e">
        <f t="shared" si="7"/>
        <v>#N/A</v>
      </c>
      <c r="F87" s="53">
        <v>1.5</v>
      </c>
      <c r="G87" s="53">
        <f>$D$157*F87</f>
        <v>1.275</v>
      </c>
      <c r="H87" s="134">
        <v>0.5</v>
      </c>
      <c r="I87" s="134">
        <v>0.275</v>
      </c>
      <c r="J87" s="134">
        <f>2.205*0.204</f>
        <v>0.44982</v>
      </c>
      <c r="K87" s="134">
        <f t="shared" si="8"/>
        <v>0.6249549999999999</v>
      </c>
      <c r="L87" s="21" t="s">
        <v>387</v>
      </c>
      <c r="M87" s="103" t="s">
        <v>563</v>
      </c>
    </row>
    <row r="88" spans="1:13" ht="12">
      <c r="A88" s="102" t="s">
        <v>134</v>
      </c>
      <c r="B88" s="134"/>
      <c r="C88" s="134"/>
      <c r="D88" s="53"/>
      <c r="E88" s="53"/>
      <c r="F88" s="53"/>
      <c r="G88" s="53"/>
      <c r="H88" s="134">
        <v>16</v>
      </c>
      <c r="I88" s="134">
        <v>7.5</v>
      </c>
      <c r="J88" s="134"/>
      <c r="K88" s="134">
        <f t="shared" si="8"/>
        <v>11.75</v>
      </c>
      <c r="L88" s="21" t="s">
        <v>387</v>
      </c>
      <c r="M88" s="103" t="s">
        <v>571</v>
      </c>
    </row>
    <row r="89" spans="1:13" ht="12">
      <c r="A89" s="102" t="s">
        <v>135</v>
      </c>
      <c r="B89" s="134" t="e">
        <v>#N/A</v>
      </c>
      <c r="C89" s="134" t="e">
        <v>#N/A</v>
      </c>
      <c r="D89" s="53" t="e">
        <f aca="true" t="shared" si="9" ref="D89:D104">C89/B89</f>
        <v>#N/A</v>
      </c>
      <c r="E89" s="53" t="e">
        <f aca="true" t="shared" si="10" ref="E89:E104">$D$156*B89</f>
        <v>#N/A</v>
      </c>
      <c r="F89" s="53"/>
      <c r="G89" s="53"/>
      <c r="H89" s="134">
        <v>1100</v>
      </c>
      <c r="I89" s="134">
        <v>1100</v>
      </c>
      <c r="J89" s="134"/>
      <c r="K89" s="134">
        <f t="shared" si="8"/>
        <v>1100</v>
      </c>
      <c r="L89" s="21" t="s">
        <v>440</v>
      </c>
      <c r="M89" s="103" t="s">
        <v>430</v>
      </c>
    </row>
    <row r="90" spans="1:13" ht="12">
      <c r="A90" s="102" t="s">
        <v>136</v>
      </c>
      <c r="B90" s="134">
        <v>4.5</v>
      </c>
      <c r="C90" s="134" t="e">
        <v>#N/A</v>
      </c>
      <c r="D90" s="53" t="e">
        <f t="shared" si="9"/>
        <v>#N/A</v>
      </c>
      <c r="E90" s="53">
        <f t="shared" si="10"/>
        <v>3.343958297449446</v>
      </c>
      <c r="F90" s="53">
        <v>3.285</v>
      </c>
      <c r="G90" s="53">
        <f>$D$157*F90</f>
        <v>2.79225</v>
      </c>
      <c r="H90" s="134">
        <v>2.5</v>
      </c>
      <c r="I90" s="134">
        <v>2.5</v>
      </c>
      <c r="J90" s="134"/>
      <c r="K90" s="134">
        <f t="shared" si="8"/>
        <v>2.5974166666666667</v>
      </c>
      <c r="L90" s="21" t="s">
        <v>441</v>
      </c>
      <c r="M90" s="103" t="s">
        <v>442</v>
      </c>
    </row>
    <row r="91" spans="1:13" ht="12">
      <c r="A91" s="102" t="s">
        <v>443</v>
      </c>
      <c r="B91" s="134" t="e">
        <v>#N/A</v>
      </c>
      <c r="C91" s="134" t="e">
        <v>#N/A</v>
      </c>
      <c r="D91" s="53" t="e">
        <f t="shared" si="9"/>
        <v>#N/A</v>
      </c>
      <c r="E91" s="53" t="e">
        <f t="shared" si="10"/>
        <v>#N/A</v>
      </c>
      <c r="F91" s="53"/>
      <c r="G91" s="53"/>
      <c r="H91" s="134">
        <v>10</v>
      </c>
      <c r="I91" s="134"/>
      <c r="J91" s="134"/>
      <c r="K91" s="134">
        <f t="shared" si="8"/>
        <v>10</v>
      </c>
      <c r="L91" s="21"/>
      <c r="M91" s="103">
        <v>6</v>
      </c>
    </row>
    <row r="92" spans="1:13" ht="12">
      <c r="A92" s="102" t="s">
        <v>137</v>
      </c>
      <c r="B92" s="134">
        <v>42.125</v>
      </c>
      <c r="C92" s="134" t="e">
        <v>#N/A</v>
      </c>
      <c r="D92" s="53" t="e">
        <f t="shared" si="9"/>
        <v>#N/A</v>
      </c>
      <c r="E92" s="53">
        <f t="shared" si="10"/>
        <v>31.3031651733462</v>
      </c>
      <c r="F92" s="53">
        <v>30.75125</v>
      </c>
      <c r="G92" s="53"/>
      <c r="H92" s="134">
        <v>25</v>
      </c>
      <c r="I92" s="134">
        <v>1.25</v>
      </c>
      <c r="J92" s="134"/>
      <c r="K92" s="134">
        <f t="shared" si="8"/>
        <v>13.125</v>
      </c>
      <c r="L92" s="25" t="s">
        <v>387</v>
      </c>
      <c r="M92" s="110" t="s">
        <v>572</v>
      </c>
    </row>
    <row r="93" spans="1:13" ht="12">
      <c r="A93" s="102" t="s">
        <v>138</v>
      </c>
      <c r="B93" s="134">
        <v>96</v>
      </c>
      <c r="C93" s="134">
        <v>60</v>
      </c>
      <c r="D93" s="53">
        <f t="shared" si="9"/>
        <v>0.625</v>
      </c>
      <c r="E93" s="53">
        <f t="shared" si="10"/>
        <v>71.33777701225485</v>
      </c>
      <c r="F93" s="53">
        <v>65.04</v>
      </c>
      <c r="G93" s="53"/>
      <c r="H93" s="134">
        <v>35</v>
      </c>
      <c r="I93" s="134">
        <v>15</v>
      </c>
      <c r="J93" s="134"/>
      <c r="K93" s="134">
        <f t="shared" si="8"/>
        <v>25</v>
      </c>
      <c r="L93" s="25" t="s">
        <v>387</v>
      </c>
      <c r="M93" s="110" t="s">
        <v>567</v>
      </c>
    </row>
    <row r="94" spans="1:13" ht="12">
      <c r="A94" s="102" t="s">
        <v>274</v>
      </c>
      <c r="B94" s="134">
        <v>435</v>
      </c>
      <c r="C94" s="134" t="e">
        <v>#N/A</v>
      </c>
      <c r="D94" s="53" t="e">
        <f t="shared" si="9"/>
        <v>#N/A</v>
      </c>
      <c r="E94" s="53">
        <f t="shared" si="10"/>
        <v>323.2493020867798</v>
      </c>
      <c r="F94" s="53">
        <v>317.55</v>
      </c>
      <c r="G94" s="53">
        <f>$D$157*F94</f>
        <v>269.9175</v>
      </c>
      <c r="H94" s="134"/>
      <c r="I94" s="134"/>
      <c r="J94" s="134"/>
      <c r="K94" s="134">
        <f t="shared" si="8"/>
        <v>269.9175</v>
      </c>
      <c r="L94" s="25"/>
      <c r="M94" s="110">
        <v>3</v>
      </c>
    </row>
    <row r="95" spans="1:13" ht="12">
      <c r="A95" s="102" t="s">
        <v>275</v>
      </c>
      <c r="B95" s="134">
        <v>1496</v>
      </c>
      <c r="C95" s="134" t="e">
        <v>#N/A</v>
      </c>
      <c r="D95" s="53" t="e">
        <f t="shared" si="9"/>
        <v>#N/A</v>
      </c>
      <c r="E95" s="53">
        <f t="shared" si="10"/>
        <v>1111.6803584409713</v>
      </c>
      <c r="F95" s="53">
        <v>1092.08</v>
      </c>
      <c r="G95" s="53"/>
      <c r="H95" s="134">
        <v>70</v>
      </c>
      <c r="I95" s="134"/>
      <c r="J95" s="134"/>
      <c r="K95" s="134">
        <f t="shared" si="8"/>
        <v>70</v>
      </c>
      <c r="L95" s="25"/>
      <c r="M95" s="110" t="s">
        <v>573</v>
      </c>
    </row>
    <row r="96" spans="1:13" ht="12">
      <c r="A96" s="102" t="s">
        <v>276</v>
      </c>
      <c r="B96" s="134" t="e">
        <v>#N/A</v>
      </c>
      <c r="C96" s="134">
        <v>30</v>
      </c>
      <c r="D96" s="53" t="e">
        <f t="shared" si="9"/>
        <v>#N/A</v>
      </c>
      <c r="E96" s="53" t="e">
        <f t="shared" si="10"/>
        <v>#N/A</v>
      </c>
      <c r="F96" s="53">
        <v>30</v>
      </c>
      <c r="G96" s="53"/>
      <c r="H96" s="134">
        <v>8</v>
      </c>
      <c r="I96" s="134">
        <v>6.5</v>
      </c>
      <c r="J96" s="134"/>
      <c r="K96" s="134">
        <f t="shared" si="8"/>
        <v>7.25</v>
      </c>
      <c r="L96" s="25" t="s">
        <v>387</v>
      </c>
      <c r="M96" s="110" t="s">
        <v>574</v>
      </c>
    </row>
    <row r="97" spans="1:13" ht="12">
      <c r="A97" s="102" t="s">
        <v>277</v>
      </c>
      <c r="B97" s="134" t="e">
        <v>#N/A</v>
      </c>
      <c r="C97" s="134" t="e">
        <v>#N/A</v>
      </c>
      <c r="D97" s="53" t="e">
        <f t="shared" si="9"/>
        <v>#N/A</v>
      </c>
      <c r="E97" s="53" t="e">
        <f t="shared" si="10"/>
        <v>#N/A</v>
      </c>
      <c r="F97" s="53"/>
      <c r="G97" s="53"/>
      <c r="H97" s="134">
        <v>22.5</v>
      </c>
      <c r="I97" s="134">
        <v>8</v>
      </c>
      <c r="J97" s="134"/>
      <c r="K97" s="134">
        <f t="shared" si="8"/>
        <v>15.25</v>
      </c>
      <c r="L97" s="25" t="s">
        <v>387</v>
      </c>
      <c r="M97" s="110" t="s">
        <v>571</v>
      </c>
    </row>
    <row r="98" spans="1:13" ht="12">
      <c r="A98" s="102" t="s">
        <v>278</v>
      </c>
      <c r="B98" s="134">
        <v>388</v>
      </c>
      <c r="C98" s="134" t="e">
        <v>#N/A</v>
      </c>
      <c r="D98" s="53" t="e">
        <f t="shared" si="9"/>
        <v>#N/A</v>
      </c>
      <c r="E98" s="53">
        <f t="shared" si="10"/>
        <v>288.32351542453</v>
      </c>
      <c r="F98" s="53">
        <v>288.324</v>
      </c>
      <c r="G98" s="53">
        <f>$D$157*F98</f>
        <v>245.0754</v>
      </c>
      <c r="H98" s="134"/>
      <c r="I98" s="134"/>
      <c r="J98" s="134"/>
      <c r="K98" s="134">
        <f aca="true" t="shared" si="11" ref="K98:K104">AVERAGEA(G98:J98)</f>
        <v>245.0754</v>
      </c>
      <c r="L98" s="25"/>
      <c r="M98" s="110">
        <v>33</v>
      </c>
    </row>
    <row r="99" spans="1:13" ht="12">
      <c r="A99" s="102" t="s">
        <v>279</v>
      </c>
      <c r="B99" s="134" t="e">
        <v>#N/A</v>
      </c>
      <c r="C99" s="134" t="e">
        <v>#N/A</v>
      </c>
      <c r="D99" s="53" t="e">
        <f t="shared" si="9"/>
        <v>#N/A</v>
      </c>
      <c r="E99" s="53" t="e">
        <f t="shared" si="10"/>
        <v>#N/A</v>
      </c>
      <c r="F99" s="53"/>
      <c r="G99" s="53"/>
      <c r="H99" s="134">
        <f>AVERAGE(K93,K95,K96,K97,8.5)</f>
        <v>25.2</v>
      </c>
      <c r="I99" s="134"/>
      <c r="J99" s="134"/>
      <c r="K99" s="134">
        <f t="shared" si="11"/>
        <v>25.2</v>
      </c>
      <c r="L99" s="25" t="s">
        <v>417</v>
      </c>
      <c r="M99" s="110">
        <v>33</v>
      </c>
    </row>
    <row r="100" spans="1:13" ht="12">
      <c r="A100" s="102" t="s">
        <v>280</v>
      </c>
      <c r="B100" s="134">
        <v>42</v>
      </c>
      <c r="C100" s="134" t="e">
        <v>#N/A</v>
      </c>
      <c r="D100" s="53" t="e">
        <f t="shared" si="9"/>
        <v>#N/A</v>
      </c>
      <c r="E100" s="53">
        <f t="shared" si="10"/>
        <v>31.210277442861496</v>
      </c>
      <c r="F100" s="53">
        <v>30.66</v>
      </c>
      <c r="G100" s="53">
        <f>$D$157*F100</f>
        <v>26.061</v>
      </c>
      <c r="H100" s="134"/>
      <c r="I100" s="134"/>
      <c r="J100" s="134"/>
      <c r="K100" s="134">
        <f t="shared" si="11"/>
        <v>26.061</v>
      </c>
      <c r="L100" s="25"/>
      <c r="M100" s="110">
        <v>3</v>
      </c>
    </row>
    <row r="101" spans="1:13" ht="12">
      <c r="A101" s="102" t="s">
        <v>281</v>
      </c>
      <c r="B101" s="134" t="e">
        <v>#N/A</v>
      </c>
      <c r="C101" s="134">
        <v>40</v>
      </c>
      <c r="D101" s="53" t="e">
        <f t="shared" si="9"/>
        <v>#N/A</v>
      </c>
      <c r="E101" s="53" t="e">
        <f t="shared" si="10"/>
        <v>#N/A</v>
      </c>
      <c r="F101" s="53">
        <v>40</v>
      </c>
      <c r="G101" s="53">
        <f>$D$157*F101</f>
        <v>34</v>
      </c>
      <c r="H101" s="134">
        <v>9</v>
      </c>
      <c r="I101" s="134"/>
      <c r="J101" s="134"/>
      <c r="K101" s="134">
        <f t="shared" si="11"/>
        <v>21.5</v>
      </c>
      <c r="L101" s="25"/>
      <c r="M101" s="110" t="s">
        <v>445</v>
      </c>
    </row>
    <row r="102" spans="1:13" ht="12">
      <c r="A102" s="102" t="s">
        <v>282</v>
      </c>
      <c r="B102" s="134" t="e">
        <v>#N/A</v>
      </c>
      <c r="C102" s="134" t="e">
        <v>#N/A</v>
      </c>
      <c r="D102" s="53" t="e">
        <f t="shared" si="9"/>
        <v>#N/A</v>
      </c>
      <c r="E102" s="53" t="e">
        <f t="shared" si="10"/>
        <v>#N/A</v>
      </c>
      <c r="F102" s="53"/>
      <c r="G102" s="53"/>
      <c r="H102" s="134">
        <v>1</v>
      </c>
      <c r="I102" s="134">
        <v>1.5</v>
      </c>
      <c r="J102" s="134"/>
      <c r="K102" s="134">
        <f t="shared" si="11"/>
        <v>1.25</v>
      </c>
      <c r="L102" s="25"/>
      <c r="M102" s="110" t="s">
        <v>446</v>
      </c>
    </row>
    <row r="103" spans="1:13" ht="12">
      <c r="A103" s="102" t="s">
        <v>283</v>
      </c>
      <c r="B103" s="134" t="e">
        <v>#N/A</v>
      </c>
      <c r="C103" s="134" t="e">
        <v>#N/A</v>
      </c>
      <c r="D103" s="53" t="e">
        <f t="shared" si="9"/>
        <v>#N/A</v>
      </c>
      <c r="E103" s="53" t="e">
        <f t="shared" si="10"/>
        <v>#N/A</v>
      </c>
      <c r="F103" s="53"/>
      <c r="G103" s="53"/>
      <c r="H103" s="134">
        <v>1.491</v>
      </c>
      <c r="I103" s="134"/>
      <c r="J103" s="134"/>
      <c r="K103" s="134">
        <f t="shared" si="11"/>
        <v>1.491</v>
      </c>
      <c r="L103" s="25" t="s">
        <v>625</v>
      </c>
      <c r="M103" s="110"/>
    </row>
    <row r="104" spans="1:13" ht="12.75" thickBot="1">
      <c r="A104" s="104" t="s">
        <v>284</v>
      </c>
      <c r="B104" s="135" t="e">
        <v>#N/A</v>
      </c>
      <c r="C104" s="135" t="e">
        <v>#N/A</v>
      </c>
      <c r="D104" s="105" t="e">
        <f t="shared" si="9"/>
        <v>#N/A</v>
      </c>
      <c r="E104" s="105" t="e">
        <f t="shared" si="10"/>
        <v>#N/A</v>
      </c>
      <c r="F104" s="105"/>
      <c r="G104" s="105"/>
      <c r="H104" s="135">
        <v>1.491</v>
      </c>
      <c r="I104" s="135"/>
      <c r="J104" s="135"/>
      <c r="K104" s="135">
        <f t="shared" si="11"/>
        <v>1.491</v>
      </c>
      <c r="L104" s="111" t="s">
        <v>625</v>
      </c>
      <c r="M104" s="112"/>
    </row>
    <row r="105" spans="1:13" ht="12">
      <c r="A105" s="55"/>
      <c r="C105" s="56"/>
      <c r="F105" s="56"/>
      <c r="K105" s="56"/>
      <c r="L105" s="26"/>
      <c r="M105" s="57"/>
    </row>
    <row r="106" spans="1:13" ht="12">
      <c r="A106" s="67"/>
      <c r="B106" s="136"/>
      <c r="C106" s="136"/>
      <c r="D106" s="70"/>
      <c r="E106" s="70"/>
      <c r="F106" s="70"/>
      <c r="G106" s="70"/>
      <c r="H106" s="136"/>
      <c r="I106" s="136"/>
      <c r="J106" s="136"/>
      <c r="K106" s="136"/>
      <c r="L106" s="42"/>
      <c r="M106" s="73"/>
    </row>
    <row r="107" spans="1:13" ht="12.75" thickBot="1">
      <c r="A107" s="51" t="s">
        <v>497</v>
      </c>
      <c r="B107" s="72" t="s">
        <v>368</v>
      </c>
      <c r="C107" s="72" t="s">
        <v>454</v>
      </c>
      <c r="D107" s="72" t="s">
        <v>455</v>
      </c>
      <c r="E107" s="72" t="s">
        <v>536</v>
      </c>
      <c r="F107" s="72" t="s">
        <v>458</v>
      </c>
      <c r="G107" s="72" t="s">
        <v>537</v>
      </c>
      <c r="H107" s="72" t="s">
        <v>388</v>
      </c>
      <c r="I107" s="72" t="s">
        <v>389</v>
      </c>
      <c r="J107" s="72" t="s">
        <v>413</v>
      </c>
      <c r="K107" s="72" t="s">
        <v>538</v>
      </c>
      <c r="L107" s="59" t="s">
        <v>367</v>
      </c>
      <c r="M107" s="51" t="s">
        <v>366</v>
      </c>
    </row>
    <row r="108" spans="1:13" ht="12">
      <c r="A108" s="98" t="s">
        <v>287</v>
      </c>
      <c r="B108" s="133" t="e">
        <v>#N/A</v>
      </c>
      <c r="C108" s="133" t="e">
        <v>#N/A</v>
      </c>
      <c r="D108" s="99" t="e">
        <f aca="true" t="shared" si="12" ref="D108:D145">C108/B108</f>
        <v>#N/A</v>
      </c>
      <c r="E108" s="99" t="e">
        <f aca="true" t="shared" si="13" ref="E108:E145">$D$156*B108</f>
        <v>#N/A</v>
      </c>
      <c r="F108" s="99"/>
      <c r="G108" s="99"/>
      <c r="H108" s="133">
        <v>6</v>
      </c>
      <c r="I108" s="133"/>
      <c r="J108" s="133"/>
      <c r="K108" s="133">
        <f aca="true" t="shared" si="14" ref="K108:K145">AVERAGEA(G108:J108)</f>
        <v>6</v>
      </c>
      <c r="L108" s="108" t="s">
        <v>387</v>
      </c>
      <c r="M108" s="109">
        <v>6</v>
      </c>
    </row>
    <row r="109" spans="1:13" ht="12">
      <c r="A109" s="102" t="s">
        <v>288</v>
      </c>
      <c r="B109" s="134" t="e">
        <v>#N/A</v>
      </c>
      <c r="C109" s="134" t="e">
        <v>#N/A</v>
      </c>
      <c r="D109" s="53" t="e">
        <f t="shared" si="12"/>
        <v>#N/A</v>
      </c>
      <c r="E109" s="53" t="e">
        <f t="shared" si="13"/>
        <v>#N/A</v>
      </c>
      <c r="F109" s="53"/>
      <c r="G109" s="53"/>
      <c r="H109" s="134">
        <v>0.290625</v>
      </c>
      <c r="I109" s="134"/>
      <c r="J109" s="134"/>
      <c r="K109" s="134">
        <f t="shared" si="14"/>
        <v>0.290625</v>
      </c>
      <c r="L109" s="25" t="s">
        <v>540</v>
      </c>
      <c r="M109" s="110">
        <v>16</v>
      </c>
    </row>
    <row r="110" spans="1:13" ht="12">
      <c r="A110" s="102" t="s">
        <v>289</v>
      </c>
      <c r="B110" s="134" t="e">
        <v>#N/A</v>
      </c>
      <c r="C110" s="134">
        <v>5</v>
      </c>
      <c r="D110" s="53" t="e">
        <f t="shared" si="12"/>
        <v>#N/A</v>
      </c>
      <c r="E110" s="53" t="e">
        <f t="shared" si="13"/>
        <v>#N/A</v>
      </c>
      <c r="F110" s="53">
        <v>5</v>
      </c>
      <c r="G110" s="53">
        <f>$D$157*F110</f>
        <v>4.25</v>
      </c>
      <c r="H110" s="134">
        <v>3</v>
      </c>
      <c r="I110" s="134"/>
      <c r="J110" s="134"/>
      <c r="K110" s="134">
        <f t="shared" si="14"/>
        <v>3.625</v>
      </c>
      <c r="L110" s="25" t="s">
        <v>478</v>
      </c>
      <c r="M110" s="110" t="s">
        <v>477</v>
      </c>
    </row>
    <row r="111" spans="1:13" ht="12">
      <c r="A111" s="102" t="s">
        <v>290</v>
      </c>
      <c r="B111" s="134" t="e">
        <v>#N/A</v>
      </c>
      <c r="C111" s="134" t="e">
        <v>#N/A</v>
      </c>
      <c r="D111" s="53" t="e">
        <f t="shared" si="12"/>
        <v>#N/A</v>
      </c>
      <c r="E111" s="53" t="e">
        <f t="shared" si="13"/>
        <v>#N/A</v>
      </c>
      <c r="F111" s="53"/>
      <c r="G111" s="53"/>
      <c r="H111" s="134">
        <v>0.3</v>
      </c>
      <c r="I111" s="134"/>
      <c r="J111" s="134"/>
      <c r="K111" s="134">
        <f t="shared" si="14"/>
        <v>0.3</v>
      </c>
      <c r="L111" s="25" t="s">
        <v>450</v>
      </c>
      <c r="M111" s="110">
        <v>50</v>
      </c>
    </row>
    <row r="112" spans="1:13" ht="12">
      <c r="A112" s="102" t="s">
        <v>291</v>
      </c>
      <c r="B112" s="134" t="e">
        <v>#N/A</v>
      </c>
      <c r="C112" s="134" t="e">
        <v>#N/A</v>
      </c>
      <c r="D112" s="53" t="e">
        <f t="shared" si="12"/>
        <v>#N/A</v>
      </c>
      <c r="E112" s="53" t="e">
        <f t="shared" si="13"/>
        <v>#N/A</v>
      </c>
      <c r="F112" s="53"/>
      <c r="G112" s="53"/>
      <c r="H112" s="134">
        <v>0.40625</v>
      </c>
      <c r="I112" s="134"/>
      <c r="J112" s="134"/>
      <c r="K112" s="134">
        <f t="shared" si="14"/>
        <v>0.40625</v>
      </c>
      <c r="L112" s="25" t="s">
        <v>482</v>
      </c>
      <c r="M112" s="110">
        <v>16</v>
      </c>
    </row>
    <row r="113" spans="1:13" ht="12">
      <c r="A113" s="102" t="s">
        <v>292</v>
      </c>
      <c r="B113" s="134" t="e">
        <v>#N/A</v>
      </c>
      <c r="C113" s="134" t="e">
        <v>#N/A</v>
      </c>
      <c r="D113" s="53" t="e">
        <f t="shared" si="12"/>
        <v>#N/A</v>
      </c>
      <c r="E113" s="53" t="e">
        <f t="shared" si="13"/>
        <v>#N/A</v>
      </c>
      <c r="F113" s="53"/>
      <c r="G113" s="53"/>
      <c r="H113" s="134">
        <v>0.28</v>
      </c>
      <c r="I113" s="134"/>
      <c r="J113" s="134"/>
      <c r="K113" s="134">
        <f t="shared" si="14"/>
        <v>0.28</v>
      </c>
      <c r="L113" s="25" t="s">
        <v>450</v>
      </c>
      <c r="M113" s="110">
        <v>50</v>
      </c>
    </row>
    <row r="114" spans="1:13" ht="12">
      <c r="A114" s="102" t="s">
        <v>293</v>
      </c>
      <c r="B114" s="134" t="e">
        <v>#N/A</v>
      </c>
      <c r="C114" s="134" t="e">
        <v>#N/A</v>
      </c>
      <c r="D114" s="53" t="e">
        <f t="shared" si="12"/>
        <v>#N/A</v>
      </c>
      <c r="E114" s="53" t="e">
        <f t="shared" si="13"/>
        <v>#N/A</v>
      </c>
      <c r="F114" s="53"/>
      <c r="G114" s="53"/>
      <c r="H114" s="134">
        <v>0.29</v>
      </c>
      <c r="I114" s="134"/>
      <c r="J114" s="134"/>
      <c r="K114" s="134">
        <f t="shared" si="14"/>
        <v>0.29</v>
      </c>
      <c r="L114" s="25" t="s">
        <v>450</v>
      </c>
      <c r="M114" s="110">
        <v>50</v>
      </c>
    </row>
    <row r="115" spans="1:13" ht="12">
      <c r="A115" s="102" t="s">
        <v>294</v>
      </c>
      <c r="B115" s="134" t="e">
        <v>#N/A</v>
      </c>
      <c r="C115" s="134" t="e">
        <v>#N/A</v>
      </c>
      <c r="D115" s="53" t="e">
        <f t="shared" si="12"/>
        <v>#N/A</v>
      </c>
      <c r="E115" s="53" t="e">
        <f t="shared" si="13"/>
        <v>#N/A</v>
      </c>
      <c r="F115" s="53"/>
      <c r="G115" s="53"/>
      <c r="H115" s="134">
        <f>AVERAGE(H109:H114)</f>
        <v>0.7611458333333333</v>
      </c>
      <c r="I115" s="134"/>
      <c r="J115" s="134"/>
      <c r="K115" s="134">
        <f t="shared" si="14"/>
        <v>0.7611458333333333</v>
      </c>
      <c r="L115" s="25" t="s">
        <v>479</v>
      </c>
      <c r="M115" s="110">
        <v>50</v>
      </c>
    </row>
    <row r="116" spans="1:13" ht="12">
      <c r="A116" s="102" t="s">
        <v>295</v>
      </c>
      <c r="B116" s="134" t="e">
        <v>#N/A</v>
      </c>
      <c r="C116" s="134" t="e">
        <v>#N/A</v>
      </c>
      <c r="D116" s="53" t="e">
        <f t="shared" si="12"/>
        <v>#N/A</v>
      </c>
      <c r="E116" s="53" t="e">
        <f t="shared" si="13"/>
        <v>#N/A</v>
      </c>
      <c r="F116" s="53"/>
      <c r="G116" s="53"/>
      <c r="H116" s="134">
        <v>0.4</v>
      </c>
      <c r="I116" s="134"/>
      <c r="J116" s="134"/>
      <c r="K116" s="134">
        <f t="shared" si="14"/>
        <v>0.4</v>
      </c>
      <c r="L116" s="25"/>
      <c r="M116" s="110">
        <v>50</v>
      </c>
    </row>
    <row r="117" spans="1:13" ht="12">
      <c r="A117" s="102" t="s">
        <v>296</v>
      </c>
      <c r="B117" s="134" t="e">
        <v>#N/A</v>
      </c>
      <c r="C117" s="134" t="e">
        <v>#N/A</v>
      </c>
      <c r="D117" s="53" t="e">
        <f t="shared" si="12"/>
        <v>#N/A</v>
      </c>
      <c r="E117" s="53" t="e">
        <f t="shared" si="13"/>
        <v>#N/A</v>
      </c>
      <c r="F117" s="53"/>
      <c r="G117" s="53"/>
      <c r="H117" s="134">
        <v>0.83125</v>
      </c>
      <c r="I117" s="134">
        <v>0.53125</v>
      </c>
      <c r="J117" s="134"/>
      <c r="K117" s="134">
        <f t="shared" si="14"/>
        <v>0.68125</v>
      </c>
      <c r="L117" s="25" t="s">
        <v>447</v>
      </c>
      <c r="M117" s="110">
        <v>16</v>
      </c>
    </row>
    <row r="118" spans="1:13" ht="12">
      <c r="A118" s="102" t="s">
        <v>297</v>
      </c>
      <c r="B118" s="134" t="e">
        <v>#N/A</v>
      </c>
      <c r="C118" s="134" t="e">
        <v>#N/A</v>
      </c>
      <c r="D118" s="53" t="e">
        <f t="shared" si="12"/>
        <v>#N/A</v>
      </c>
      <c r="E118" s="53" t="e">
        <f t="shared" si="13"/>
        <v>#N/A</v>
      </c>
      <c r="F118" s="53"/>
      <c r="G118" s="53"/>
      <c r="H118" s="134">
        <v>0.56</v>
      </c>
      <c r="I118" s="134"/>
      <c r="J118" s="134"/>
      <c r="K118" s="134">
        <f t="shared" si="14"/>
        <v>0.56</v>
      </c>
      <c r="L118" s="25"/>
      <c r="M118" s="110">
        <v>16</v>
      </c>
    </row>
    <row r="119" spans="1:13" ht="12">
      <c r="A119" s="102" t="s">
        <v>298</v>
      </c>
      <c r="B119" s="134" t="e">
        <v>#N/A</v>
      </c>
      <c r="C119" s="134">
        <v>3.5</v>
      </c>
      <c r="D119" s="53" t="e">
        <f t="shared" si="12"/>
        <v>#N/A</v>
      </c>
      <c r="E119" s="53" t="e">
        <f t="shared" si="13"/>
        <v>#N/A</v>
      </c>
      <c r="F119" s="53">
        <v>3.5</v>
      </c>
      <c r="G119" s="53">
        <f>$D$157*F119</f>
        <v>2.975</v>
      </c>
      <c r="H119" s="134">
        <v>1.5</v>
      </c>
      <c r="I119" s="134"/>
      <c r="J119" s="134"/>
      <c r="K119" s="134">
        <f t="shared" si="14"/>
        <v>2.2375</v>
      </c>
      <c r="L119" s="25"/>
      <c r="M119" s="110">
        <v>16</v>
      </c>
    </row>
    <row r="120" spans="1:13" ht="12">
      <c r="A120" s="102" t="s">
        <v>299</v>
      </c>
      <c r="B120" s="134" t="e">
        <v>#N/A</v>
      </c>
      <c r="C120" s="134">
        <v>1.5</v>
      </c>
      <c r="D120" s="53" t="e">
        <f t="shared" si="12"/>
        <v>#N/A</v>
      </c>
      <c r="E120" s="53" t="e">
        <f t="shared" si="13"/>
        <v>#N/A</v>
      </c>
      <c r="F120" s="53">
        <v>1.5</v>
      </c>
      <c r="G120" s="53">
        <f>$D$157*F120</f>
        <v>1.275</v>
      </c>
      <c r="H120" s="134"/>
      <c r="I120" s="134"/>
      <c r="J120" s="134"/>
      <c r="K120" s="134">
        <f t="shared" si="14"/>
        <v>1.275</v>
      </c>
      <c r="L120" s="25"/>
      <c r="M120" s="110">
        <v>16</v>
      </c>
    </row>
    <row r="121" spans="1:13" ht="12">
      <c r="A121" s="102" t="s">
        <v>300</v>
      </c>
      <c r="B121" s="134" t="e">
        <v>#N/A</v>
      </c>
      <c r="C121" s="134">
        <v>25</v>
      </c>
      <c r="D121" s="53" t="e">
        <f t="shared" si="12"/>
        <v>#N/A</v>
      </c>
      <c r="E121" s="53" t="e">
        <f t="shared" si="13"/>
        <v>#N/A</v>
      </c>
      <c r="F121" s="53">
        <v>25</v>
      </c>
      <c r="G121" s="53">
        <f>$D$157*F121</f>
        <v>21.25</v>
      </c>
      <c r="H121" s="134">
        <v>7.5</v>
      </c>
      <c r="I121" s="134"/>
      <c r="J121" s="134"/>
      <c r="K121" s="134">
        <f t="shared" si="14"/>
        <v>14.375</v>
      </c>
      <c r="L121" s="25"/>
      <c r="M121" s="110" t="s">
        <v>448</v>
      </c>
    </row>
    <row r="122" spans="1:13" ht="12">
      <c r="A122" s="102" t="s">
        <v>302</v>
      </c>
      <c r="B122" s="134" t="e">
        <v>#N/A</v>
      </c>
      <c r="C122" s="134">
        <v>3</v>
      </c>
      <c r="D122" s="53" t="e">
        <f t="shared" si="12"/>
        <v>#N/A</v>
      </c>
      <c r="E122" s="53" t="e">
        <f t="shared" si="13"/>
        <v>#N/A</v>
      </c>
      <c r="F122" s="53">
        <v>3</v>
      </c>
      <c r="G122" s="53">
        <f>$D$157*F122</f>
        <v>2.55</v>
      </c>
      <c r="H122" s="134"/>
      <c r="I122" s="134"/>
      <c r="J122" s="134"/>
      <c r="K122" s="134">
        <f t="shared" si="14"/>
        <v>2.55</v>
      </c>
      <c r="L122" s="25"/>
      <c r="M122" s="110">
        <v>16</v>
      </c>
    </row>
    <row r="123" spans="1:13" ht="12">
      <c r="A123" s="102" t="s">
        <v>301</v>
      </c>
      <c r="B123" s="134" t="e">
        <v>#N/A</v>
      </c>
      <c r="C123" s="134">
        <v>5</v>
      </c>
      <c r="D123" s="53" t="e">
        <f t="shared" si="12"/>
        <v>#N/A</v>
      </c>
      <c r="E123" s="53" t="e">
        <f t="shared" si="13"/>
        <v>#N/A</v>
      </c>
      <c r="F123" s="53">
        <v>5</v>
      </c>
      <c r="G123" s="53">
        <f>$D$157*F123</f>
        <v>4.25</v>
      </c>
      <c r="H123" s="134"/>
      <c r="I123" s="134"/>
      <c r="J123" s="134"/>
      <c r="K123" s="134">
        <f t="shared" si="14"/>
        <v>4.25</v>
      </c>
      <c r="L123" s="25"/>
      <c r="M123" s="110">
        <v>16</v>
      </c>
    </row>
    <row r="124" spans="1:13" ht="12">
      <c r="A124" s="102" t="s">
        <v>303</v>
      </c>
      <c r="B124" s="134" t="e">
        <v>#N/A</v>
      </c>
      <c r="C124" s="134" t="e">
        <v>#N/A</v>
      </c>
      <c r="D124" s="53" t="e">
        <f t="shared" si="12"/>
        <v>#N/A</v>
      </c>
      <c r="E124" s="53" t="e">
        <f t="shared" si="13"/>
        <v>#N/A</v>
      </c>
      <c r="F124" s="53"/>
      <c r="G124" s="53">
        <f>AVERAGE(K117:K123)</f>
        <v>3.704107142857143</v>
      </c>
      <c r="H124" s="134"/>
      <c r="I124" s="134"/>
      <c r="J124" s="134"/>
      <c r="K124" s="134">
        <f t="shared" si="14"/>
        <v>3.704107142857143</v>
      </c>
      <c r="L124" s="25" t="s">
        <v>480</v>
      </c>
      <c r="M124" s="110">
        <v>16</v>
      </c>
    </row>
    <row r="125" spans="1:13" ht="12">
      <c r="A125" s="102" t="s">
        <v>304</v>
      </c>
      <c r="B125" s="134" t="e">
        <v>#N/A</v>
      </c>
      <c r="C125" s="134" t="e">
        <v>#N/A</v>
      </c>
      <c r="D125" s="53" t="e">
        <f t="shared" si="12"/>
        <v>#N/A</v>
      </c>
      <c r="E125" s="53" t="e">
        <f t="shared" si="13"/>
        <v>#N/A</v>
      </c>
      <c r="F125" s="53"/>
      <c r="G125" s="53"/>
      <c r="H125" s="134">
        <v>0.3125</v>
      </c>
      <c r="I125" s="134"/>
      <c r="J125" s="134"/>
      <c r="K125" s="134">
        <f t="shared" si="14"/>
        <v>0.3125</v>
      </c>
      <c r="L125" s="25"/>
      <c r="M125" s="110">
        <v>6</v>
      </c>
    </row>
    <row r="126" spans="1:13" ht="12">
      <c r="A126" s="102" t="s">
        <v>305</v>
      </c>
      <c r="B126" s="134" t="e">
        <v>#N/A</v>
      </c>
      <c r="C126" s="134" t="e">
        <v>#N/A</v>
      </c>
      <c r="D126" s="53" t="e">
        <f t="shared" si="12"/>
        <v>#N/A</v>
      </c>
      <c r="E126" s="53" t="e">
        <f t="shared" si="13"/>
        <v>#N/A</v>
      </c>
      <c r="F126" s="53"/>
      <c r="G126" s="53"/>
      <c r="H126" s="134">
        <v>3.5</v>
      </c>
      <c r="I126" s="134"/>
      <c r="J126" s="134"/>
      <c r="K126" s="134">
        <f t="shared" si="14"/>
        <v>3.5</v>
      </c>
      <c r="L126" s="25"/>
      <c r="M126" s="110">
        <v>46</v>
      </c>
    </row>
    <row r="127" spans="1:13" ht="12">
      <c r="A127" s="102" t="s">
        <v>306</v>
      </c>
      <c r="B127" s="134" t="e">
        <v>#N/A</v>
      </c>
      <c r="C127" s="134" t="e">
        <v>#N/A</v>
      </c>
      <c r="D127" s="53" t="e">
        <f t="shared" si="12"/>
        <v>#N/A</v>
      </c>
      <c r="E127" s="53" t="e">
        <f t="shared" si="13"/>
        <v>#N/A</v>
      </c>
      <c r="F127" s="53"/>
      <c r="G127" s="53"/>
      <c r="H127" s="134">
        <v>3</v>
      </c>
      <c r="I127" s="134"/>
      <c r="J127" s="134"/>
      <c r="K127" s="134">
        <f t="shared" si="14"/>
        <v>3</v>
      </c>
      <c r="L127" s="25" t="s">
        <v>481</v>
      </c>
      <c r="M127" s="110">
        <v>45</v>
      </c>
    </row>
    <row r="128" spans="1:13" ht="12">
      <c r="A128" s="102" t="s">
        <v>307</v>
      </c>
      <c r="B128" s="134" t="e">
        <v>#N/A</v>
      </c>
      <c r="C128" s="134" t="e">
        <v>#N/A</v>
      </c>
      <c r="D128" s="53" t="e">
        <f t="shared" si="12"/>
        <v>#N/A</v>
      </c>
      <c r="E128" s="53" t="e">
        <f t="shared" si="13"/>
        <v>#N/A</v>
      </c>
      <c r="F128" s="53"/>
      <c r="G128" s="53"/>
      <c r="H128" s="134">
        <v>3</v>
      </c>
      <c r="I128" s="134"/>
      <c r="J128" s="134"/>
      <c r="K128" s="134">
        <f t="shared" si="14"/>
        <v>3</v>
      </c>
      <c r="L128" s="25" t="s">
        <v>481</v>
      </c>
      <c r="M128" s="110">
        <v>45</v>
      </c>
    </row>
    <row r="129" spans="1:13" ht="12">
      <c r="A129" s="102" t="s">
        <v>308</v>
      </c>
      <c r="B129" s="134" t="e">
        <v>#N/A</v>
      </c>
      <c r="C129" s="134" t="e">
        <v>#N/A</v>
      </c>
      <c r="D129" s="53" t="e">
        <f t="shared" si="12"/>
        <v>#N/A</v>
      </c>
      <c r="E129" s="53" t="e">
        <f t="shared" si="13"/>
        <v>#N/A</v>
      </c>
      <c r="F129" s="53"/>
      <c r="G129" s="53"/>
      <c r="H129" s="134">
        <v>0.02</v>
      </c>
      <c r="I129" s="134"/>
      <c r="J129" s="134"/>
      <c r="K129" s="134">
        <f t="shared" si="14"/>
        <v>0.02</v>
      </c>
      <c r="L129" s="25" t="s">
        <v>451</v>
      </c>
      <c r="M129" s="110">
        <v>21</v>
      </c>
    </row>
    <row r="130" spans="1:13" ht="12">
      <c r="A130" s="102" t="s">
        <v>309</v>
      </c>
      <c r="B130" s="134" t="e">
        <v>#N/A</v>
      </c>
      <c r="C130" s="134" t="e">
        <v>#N/A</v>
      </c>
      <c r="D130" s="53" t="e">
        <f t="shared" si="12"/>
        <v>#N/A</v>
      </c>
      <c r="E130" s="53" t="e">
        <f t="shared" si="13"/>
        <v>#N/A</v>
      </c>
      <c r="F130" s="53"/>
      <c r="G130" s="53"/>
      <c r="H130" s="134">
        <v>0.0140625</v>
      </c>
      <c r="I130" s="134">
        <v>0.03306878306878307</v>
      </c>
      <c r="J130" s="134"/>
      <c r="K130" s="134">
        <f t="shared" si="14"/>
        <v>0.023565641534391533</v>
      </c>
      <c r="L130" s="25" t="s">
        <v>452</v>
      </c>
      <c r="M130" s="110" t="s">
        <v>449</v>
      </c>
    </row>
    <row r="131" spans="1:13" ht="12">
      <c r="A131" s="102" t="s">
        <v>310</v>
      </c>
      <c r="B131" s="134" t="e">
        <v>#N/A</v>
      </c>
      <c r="C131" s="134" t="e">
        <v>#N/A</v>
      </c>
      <c r="D131" s="53" t="e">
        <f t="shared" si="12"/>
        <v>#N/A</v>
      </c>
      <c r="E131" s="53" t="e">
        <f t="shared" si="13"/>
        <v>#N/A</v>
      </c>
      <c r="F131" s="53"/>
      <c r="G131" s="53"/>
      <c r="H131" s="134">
        <v>0.0025</v>
      </c>
      <c r="I131" s="134"/>
      <c r="J131" s="134"/>
      <c r="K131" s="134">
        <f t="shared" si="14"/>
        <v>0.0025</v>
      </c>
      <c r="L131" s="25" t="s">
        <v>452</v>
      </c>
      <c r="M131" s="110">
        <v>21</v>
      </c>
    </row>
    <row r="132" spans="1:13" ht="12">
      <c r="A132" s="102" t="s">
        <v>311</v>
      </c>
      <c r="B132" s="134" t="e">
        <v>#N/A</v>
      </c>
      <c r="C132" s="134" t="e">
        <v>#N/A</v>
      </c>
      <c r="D132" s="53" t="e">
        <f t="shared" si="12"/>
        <v>#N/A</v>
      </c>
      <c r="E132" s="53" t="e">
        <f t="shared" si="13"/>
        <v>#N/A</v>
      </c>
      <c r="F132" s="53"/>
      <c r="G132" s="53"/>
      <c r="H132" s="134">
        <v>0.004</v>
      </c>
      <c r="I132" s="134"/>
      <c r="J132" s="134"/>
      <c r="K132" s="134">
        <f t="shared" si="14"/>
        <v>0.004</v>
      </c>
      <c r="L132" s="25" t="s">
        <v>452</v>
      </c>
      <c r="M132" s="110"/>
    </row>
    <row r="133" spans="1:13" ht="12">
      <c r="A133" s="102" t="s">
        <v>312</v>
      </c>
      <c r="B133" s="134" t="e">
        <v>#N/A</v>
      </c>
      <c r="C133" s="134" t="e">
        <v>#N/A</v>
      </c>
      <c r="D133" s="53" t="e">
        <f t="shared" si="12"/>
        <v>#N/A</v>
      </c>
      <c r="E133" s="53" t="e">
        <f t="shared" si="13"/>
        <v>#N/A</v>
      </c>
      <c r="F133" s="53"/>
      <c r="G133" s="53"/>
      <c r="H133" s="134">
        <v>0.003125</v>
      </c>
      <c r="I133" s="134"/>
      <c r="J133" s="134"/>
      <c r="K133" s="134">
        <f t="shared" si="14"/>
        <v>0.003125</v>
      </c>
      <c r="L133" s="25" t="s">
        <v>450</v>
      </c>
      <c r="M133" s="110">
        <v>21</v>
      </c>
    </row>
    <row r="134" spans="1:13" ht="12.75" thickBot="1">
      <c r="A134" s="104" t="s">
        <v>323</v>
      </c>
      <c r="B134" s="135" t="e">
        <v>#N/A</v>
      </c>
      <c r="C134" s="135" t="e">
        <v>#N/A</v>
      </c>
      <c r="D134" s="105" t="e">
        <f t="shared" si="12"/>
        <v>#N/A</v>
      </c>
      <c r="E134" s="105" t="e">
        <f t="shared" si="13"/>
        <v>#N/A</v>
      </c>
      <c r="F134" s="105"/>
      <c r="G134" s="105"/>
      <c r="H134" s="135">
        <v>0.35</v>
      </c>
      <c r="I134" s="135"/>
      <c r="J134" s="135"/>
      <c r="K134" s="135">
        <f t="shared" si="14"/>
        <v>0.35</v>
      </c>
      <c r="L134" s="111"/>
      <c r="M134" s="112">
        <v>50</v>
      </c>
    </row>
    <row r="135" spans="1:13" ht="12">
      <c r="A135" s="102" t="s">
        <v>313</v>
      </c>
      <c r="B135" s="134" t="e">
        <v>#N/A</v>
      </c>
      <c r="C135" s="134" t="e">
        <v>#N/A</v>
      </c>
      <c r="D135" s="53" t="e">
        <f t="shared" si="12"/>
        <v>#N/A</v>
      </c>
      <c r="E135" s="53" t="e">
        <f t="shared" si="13"/>
        <v>#N/A</v>
      </c>
      <c r="F135" s="53"/>
      <c r="G135" s="53"/>
      <c r="H135" s="134">
        <f>(25/28.35)/16</f>
        <v>0.05511463844797178</v>
      </c>
      <c r="I135" s="134"/>
      <c r="J135" s="134"/>
      <c r="K135" s="134">
        <f t="shared" si="14"/>
        <v>0.05511463844797178</v>
      </c>
      <c r="L135" s="25" t="s">
        <v>483</v>
      </c>
      <c r="M135" s="110">
        <v>48</v>
      </c>
    </row>
    <row r="136" spans="1:13" ht="12">
      <c r="A136" s="102" t="s">
        <v>314</v>
      </c>
      <c r="B136" s="134" t="e">
        <v>#N/A</v>
      </c>
      <c r="C136" s="134" t="e">
        <v>#N/A</v>
      </c>
      <c r="D136" s="53" t="e">
        <f t="shared" si="12"/>
        <v>#N/A</v>
      </c>
      <c r="E136" s="53" t="e">
        <f t="shared" si="13"/>
        <v>#N/A</v>
      </c>
      <c r="F136" s="53"/>
      <c r="G136" s="53"/>
      <c r="H136" s="134">
        <f>(25/28.35)/16</f>
        <v>0.05511463844797178</v>
      </c>
      <c r="I136" s="134"/>
      <c r="J136" s="134"/>
      <c r="K136" s="134">
        <f t="shared" si="14"/>
        <v>0.05511463844797178</v>
      </c>
      <c r="L136" s="25" t="s">
        <v>483</v>
      </c>
      <c r="M136" s="110">
        <v>48</v>
      </c>
    </row>
    <row r="137" spans="1:13" ht="12">
      <c r="A137" s="102" t="s">
        <v>315</v>
      </c>
      <c r="B137" s="134" t="e">
        <v>#N/A</v>
      </c>
      <c r="C137" s="134" t="e">
        <v>#N/A</v>
      </c>
      <c r="D137" s="53" t="e">
        <f t="shared" si="12"/>
        <v>#N/A</v>
      </c>
      <c r="E137" s="53" t="e">
        <f t="shared" si="13"/>
        <v>#N/A</v>
      </c>
      <c r="F137" s="53"/>
      <c r="G137" s="53"/>
      <c r="H137" s="134">
        <f>(25/28.35)/16</f>
        <v>0.05511463844797178</v>
      </c>
      <c r="I137" s="134"/>
      <c r="J137" s="134"/>
      <c r="K137" s="134">
        <f t="shared" si="14"/>
        <v>0.05511463844797178</v>
      </c>
      <c r="L137" s="25" t="s">
        <v>483</v>
      </c>
      <c r="M137" s="110">
        <v>48</v>
      </c>
    </row>
    <row r="138" spans="1:13" ht="12">
      <c r="A138" s="102" t="s">
        <v>316</v>
      </c>
      <c r="B138" s="134" t="e">
        <v>#N/A</v>
      </c>
      <c r="C138" s="134" t="e">
        <v>#N/A</v>
      </c>
      <c r="D138" s="53" t="e">
        <f t="shared" si="12"/>
        <v>#N/A</v>
      </c>
      <c r="E138" s="53" t="e">
        <f t="shared" si="13"/>
        <v>#N/A</v>
      </c>
      <c r="F138" s="53"/>
      <c r="G138" s="53"/>
      <c r="H138" s="134">
        <f>(25/28.35)/16</f>
        <v>0.05511463844797178</v>
      </c>
      <c r="I138" s="134"/>
      <c r="J138" s="134"/>
      <c r="K138" s="134">
        <f t="shared" si="14"/>
        <v>0.05511463844797178</v>
      </c>
      <c r="L138" s="25" t="s">
        <v>483</v>
      </c>
      <c r="M138" s="110">
        <v>48</v>
      </c>
    </row>
    <row r="139" spans="1:13" ht="12">
      <c r="A139" s="102" t="s">
        <v>317</v>
      </c>
      <c r="B139" s="134" t="e">
        <v>#N/A</v>
      </c>
      <c r="C139" s="134" t="e">
        <v>#N/A</v>
      </c>
      <c r="D139" s="53" t="e">
        <f t="shared" si="12"/>
        <v>#N/A</v>
      </c>
      <c r="E139" s="53" t="e">
        <f t="shared" si="13"/>
        <v>#N/A</v>
      </c>
      <c r="F139" s="53"/>
      <c r="G139" s="53"/>
      <c r="H139" s="134">
        <f>(25/28.35)/16</f>
        <v>0.05511463844797178</v>
      </c>
      <c r="I139" s="134"/>
      <c r="J139" s="134"/>
      <c r="K139" s="134">
        <f t="shared" si="14"/>
        <v>0.05511463844797178</v>
      </c>
      <c r="L139" s="25" t="s">
        <v>483</v>
      </c>
      <c r="M139" s="110">
        <v>48</v>
      </c>
    </row>
    <row r="140" spans="1:13" ht="12">
      <c r="A140" s="102" t="s">
        <v>318</v>
      </c>
      <c r="B140" s="134" t="e">
        <v>#N/A</v>
      </c>
      <c r="C140" s="134" t="e">
        <v>#N/A</v>
      </c>
      <c r="D140" s="53" t="e">
        <f t="shared" si="12"/>
        <v>#N/A</v>
      </c>
      <c r="E140" s="53" t="e">
        <f t="shared" si="13"/>
        <v>#N/A</v>
      </c>
      <c r="F140" s="53"/>
      <c r="G140" s="53"/>
      <c r="H140" s="134">
        <v>0.23</v>
      </c>
      <c r="I140" s="134"/>
      <c r="J140" s="134"/>
      <c r="K140" s="134">
        <f t="shared" si="14"/>
        <v>0.23</v>
      </c>
      <c r="L140" s="25"/>
      <c r="M140" s="110">
        <v>51</v>
      </c>
    </row>
    <row r="141" spans="1:13" ht="12">
      <c r="A141" s="102" t="s">
        <v>319</v>
      </c>
      <c r="B141" s="134" t="e">
        <v>#N/A</v>
      </c>
      <c r="C141" s="134" t="e">
        <v>#N/A</v>
      </c>
      <c r="D141" s="53" t="e">
        <f t="shared" si="12"/>
        <v>#N/A</v>
      </c>
      <c r="E141" s="53" t="e">
        <f t="shared" si="13"/>
        <v>#N/A</v>
      </c>
      <c r="F141" s="53"/>
      <c r="G141" s="53"/>
      <c r="H141" s="134">
        <v>0.147</v>
      </c>
      <c r="I141" s="134">
        <f>0.205*2.205</f>
        <v>0.452025</v>
      </c>
      <c r="J141" s="134"/>
      <c r="K141" s="134">
        <f t="shared" si="14"/>
        <v>0.2995125</v>
      </c>
      <c r="L141" s="25"/>
      <c r="M141" s="110" t="s">
        <v>486</v>
      </c>
    </row>
    <row r="142" spans="1:13" ht="12">
      <c r="A142" s="102" t="s">
        <v>320</v>
      </c>
      <c r="B142" s="134" t="e">
        <v>#N/A</v>
      </c>
      <c r="C142" s="134" t="e">
        <v>#N/A</v>
      </c>
      <c r="D142" s="53" t="e">
        <f t="shared" si="12"/>
        <v>#N/A</v>
      </c>
      <c r="E142" s="53" t="e">
        <f t="shared" si="13"/>
        <v>#N/A</v>
      </c>
      <c r="F142" s="53"/>
      <c r="G142" s="53"/>
      <c r="H142" s="134">
        <v>0.153</v>
      </c>
      <c r="I142" s="134"/>
      <c r="J142" s="134"/>
      <c r="K142" s="134">
        <f t="shared" si="14"/>
        <v>0.153</v>
      </c>
      <c r="L142" s="25" t="s">
        <v>485</v>
      </c>
      <c r="M142" s="110">
        <v>50</v>
      </c>
    </row>
    <row r="143" spans="1:13" ht="12">
      <c r="A143" s="102" t="s">
        <v>328</v>
      </c>
      <c r="B143" s="134" t="e">
        <v>#N/A</v>
      </c>
      <c r="C143" s="134" t="e">
        <v>#N/A</v>
      </c>
      <c r="D143" s="53" t="e">
        <f t="shared" si="12"/>
        <v>#N/A</v>
      </c>
      <c r="E143" s="53" t="e">
        <f t="shared" si="13"/>
        <v>#N/A</v>
      </c>
      <c r="F143" s="53"/>
      <c r="G143" s="53"/>
      <c r="H143" s="134">
        <v>0.147</v>
      </c>
      <c r="I143" s="134"/>
      <c r="J143" s="134"/>
      <c r="K143" s="134">
        <f t="shared" si="14"/>
        <v>0.147</v>
      </c>
      <c r="L143" s="25"/>
      <c r="M143" s="110">
        <v>51</v>
      </c>
    </row>
    <row r="144" spans="1:13" ht="12">
      <c r="A144" s="102" t="s">
        <v>329</v>
      </c>
      <c r="B144" s="134" t="e">
        <v>#N/A</v>
      </c>
      <c r="C144" s="134" t="e">
        <v>#N/A</v>
      </c>
      <c r="D144" s="53" t="e">
        <f t="shared" si="12"/>
        <v>#N/A</v>
      </c>
      <c r="E144" s="53" t="e">
        <f t="shared" si="13"/>
        <v>#N/A</v>
      </c>
      <c r="F144" s="53"/>
      <c r="G144" s="53"/>
      <c r="H144" s="134">
        <v>0.153</v>
      </c>
      <c r="I144" s="134"/>
      <c r="J144" s="134"/>
      <c r="K144" s="134">
        <f t="shared" si="14"/>
        <v>0.153</v>
      </c>
      <c r="L144" s="25" t="s">
        <v>485</v>
      </c>
      <c r="M144" s="110">
        <v>50</v>
      </c>
    </row>
    <row r="145" spans="1:13" ht="12">
      <c r="A145" s="102" t="s">
        <v>321</v>
      </c>
      <c r="B145" s="134" t="e">
        <v>#N/A</v>
      </c>
      <c r="C145" s="134" t="e">
        <v>#N/A</v>
      </c>
      <c r="D145" s="53" t="e">
        <f t="shared" si="12"/>
        <v>#N/A</v>
      </c>
      <c r="E145" s="53" t="e">
        <f t="shared" si="13"/>
        <v>#N/A</v>
      </c>
      <c r="F145" s="53"/>
      <c r="G145" s="53"/>
      <c r="H145" s="134" t="e">
        <f>AVERAGE(#REF!/#REF!)</f>
        <v>#REF!</v>
      </c>
      <c r="I145" s="134"/>
      <c r="J145" s="134"/>
      <c r="K145" s="134" t="e">
        <f t="shared" si="14"/>
        <v>#REF!</v>
      </c>
      <c r="L145" s="25" t="s">
        <v>626</v>
      </c>
      <c r="M145" s="110"/>
    </row>
    <row r="148" spans="1:13" ht="12.75" thickBot="1">
      <c r="A148" s="51" t="s">
        <v>500</v>
      </c>
      <c r="B148" s="72" t="s">
        <v>368</v>
      </c>
      <c r="C148" s="72" t="s">
        <v>454</v>
      </c>
      <c r="D148" s="72" t="s">
        <v>455</v>
      </c>
      <c r="E148" s="72" t="s">
        <v>536</v>
      </c>
      <c r="F148" s="72" t="s">
        <v>458</v>
      </c>
      <c r="G148" s="72" t="s">
        <v>537</v>
      </c>
      <c r="H148" s="72" t="s">
        <v>388</v>
      </c>
      <c r="I148" s="72" t="s">
        <v>389</v>
      </c>
      <c r="J148" s="72" t="s">
        <v>413</v>
      </c>
      <c r="K148" s="72" t="s">
        <v>538</v>
      </c>
      <c r="L148" s="59" t="s">
        <v>367</v>
      </c>
      <c r="M148" s="51" t="s">
        <v>366</v>
      </c>
    </row>
    <row r="149" spans="1:13" ht="12">
      <c r="A149" s="98" t="s">
        <v>469</v>
      </c>
      <c r="B149" s="133" t="e">
        <v>#N/A</v>
      </c>
      <c r="C149" s="133" t="e">
        <f aca="true" t="shared" si="15" ref="C149:G150">B149/A149</f>
        <v>#N/A</v>
      </c>
      <c r="D149" s="99" t="e">
        <f t="shared" si="15"/>
        <v>#N/A</v>
      </c>
      <c r="E149" s="99" t="e">
        <f t="shared" si="15"/>
        <v>#N/A</v>
      </c>
      <c r="F149" s="99" t="e">
        <f t="shared" si="15"/>
        <v>#N/A</v>
      </c>
      <c r="G149" s="99" t="e">
        <f t="shared" si="15"/>
        <v>#N/A</v>
      </c>
      <c r="H149" s="133">
        <v>1</v>
      </c>
      <c r="I149" s="133"/>
      <c r="J149" s="149"/>
      <c r="K149" s="133">
        <f aca="true" t="shared" si="16" ref="K149:K154">AVERAGE(H149:J149)</f>
        <v>1</v>
      </c>
      <c r="L149" s="100"/>
      <c r="M149" s="101">
        <v>29</v>
      </c>
    </row>
    <row r="150" spans="1:13" ht="12">
      <c r="A150" s="102" t="s">
        <v>470</v>
      </c>
      <c r="B150" s="134" t="e">
        <v>#N/A</v>
      </c>
      <c r="C150" s="134" t="e">
        <f t="shared" si="15"/>
        <v>#N/A</v>
      </c>
      <c r="D150" s="53" t="e">
        <f t="shared" si="15"/>
        <v>#N/A</v>
      </c>
      <c r="E150" s="53" t="e">
        <f t="shared" si="15"/>
        <v>#N/A</v>
      </c>
      <c r="F150" s="53" t="e">
        <f t="shared" si="15"/>
        <v>#N/A</v>
      </c>
      <c r="G150" s="53" t="e">
        <f t="shared" si="15"/>
        <v>#N/A</v>
      </c>
      <c r="H150" s="134">
        <v>2</v>
      </c>
      <c r="I150" s="134">
        <v>3</v>
      </c>
      <c r="J150" s="134"/>
      <c r="K150" s="134">
        <f t="shared" si="16"/>
        <v>2.5</v>
      </c>
      <c r="L150" s="21"/>
      <c r="M150" s="103" t="s">
        <v>474</v>
      </c>
    </row>
    <row r="151" spans="1:13" ht="12">
      <c r="A151" s="102" t="s">
        <v>471</v>
      </c>
      <c r="B151" s="134" t="e">
        <v>#N/A</v>
      </c>
      <c r="C151" s="134" t="e">
        <v>#N/A</v>
      </c>
      <c r="D151" s="53" t="e">
        <v>#N/A</v>
      </c>
      <c r="E151" s="53" t="e">
        <v>#N/A</v>
      </c>
      <c r="F151" s="53" t="e">
        <v>#N/A</v>
      </c>
      <c r="G151" s="53" t="e">
        <v>#N/A</v>
      </c>
      <c r="H151" s="134">
        <f>4.5*2.205</f>
        <v>9.9225</v>
      </c>
      <c r="I151" s="134"/>
      <c r="J151" s="134"/>
      <c r="K151" s="134">
        <f t="shared" si="16"/>
        <v>9.9225</v>
      </c>
      <c r="L151" s="21"/>
      <c r="M151" s="103">
        <v>29</v>
      </c>
    </row>
    <row r="152" spans="1:13" ht="12">
      <c r="A152" s="102" t="s">
        <v>134</v>
      </c>
      <c r="B152" s="134" t="e">
        <v>#N/A</v>
      </c>
      <c r="C152" s="134" t="e">
        <v>#N/A</v>
      </c>
      <c r="D152" s="53" t="e">
        <v>#N/A</v>
      </c>
      <c r="E152" s="53" t="e">
        <v>#N/A</v>
      </c>
      <c r="F152" s="53" t="e">
        <v>#N/A</v>
      </c>
      <c r="G152" s="53" t="e">
        <v>#N/A</v>
      </c>
      <c r="H152" s="134">
        <v>2.5</v>
      </c>
      <c r="I152" s="134">
        <v>1.442</v>
      </c>
      <c r="J152" s="134"/>
      <c r="K152" s="134">
        <f t="shared" si="16"/>
        <v>1.971</v>
      </c>
      <c r="L152" s="21"/>
      <c r="M152" s="103" t="s">
        <v>564</v>
      </c>
    </row>
    <row r="153" spans="1:13" ht="12">
      <c r="A153" s="102" t="s">
        <v>472</v>
      </c>
      <c r="B153" s="134" t="e">
        <v>#N/A</v>
      </c>
      <c r="C153" s="134" t="e">
        <v>#N/A</v>
      </c>
      <c r="D153" s="53" t="e">
        <v>#N/A</v>
      </c>
      <c r="E153" s="53" t="e">
        <v>#N/A</v>
      </c>
      <c r="F153" s="53" t="e">
        <v>#N/A</v>
      </c>
      <c r="G153" s="53" t="e">
        <v>#N/A</v>
      </c>
      <c r="H153" s="134">
        <v>1</v>
      </c>
      <c r="I153" s="134">
        <v>2</v>
      </c>
      <c r="J153" s="134"/>
      <c r="K153" s="134">
        <f t="shared" si="16"/>
        <v>1.5</v>
      </c>
      <c r="L153" s="21"/>
      <c r="M153" s="103" t="s">
        <v>474</v>
      </c>
    </row>
    <row r="154" spans="1:13" ht="12.75" thickBot="1">
      <c r="A154" s="104" t="s">
        <v>473</v>
      </c>
      <c r="B154" s="135" t="e">
        <v>#N/A</v>
      </c>
      <c r="C154" s="135" t="e">
        <v>#N/A</v>
      </c>
      <c r="D154" s="105" t="e">
        <v>#N/A</v>
      </c>
      <c r="E154" s="105" t="e">
        <v>#N/A</v>
      </c>
      <c r="F154" s="105" t="e">
        <v>#N/A</v>
      </c>
      <c r="G154" s="105" t="e">
        <v>#N/A</v>
      </c>
      <c r="H154" s="135">
        <v>1.5</v>
      </c>
      <c r="I154" s="135"/>
      <c r="J154" s="135"/>
      <c r="K154" s="135">
        <f t="shared" si="16"/>
        <v>1.5</v>
      </c>
      <c r="L154" s="106"/>
      <c r="M154" s="107">
        <v>31</v>
      </c>
    </row>
    <row r="155" spans="1:13" ht="12">
      <c r="A155" s="67"/>
      <c r="B155" s="136"/>
      <c r="C155" s="136"/>
      <c r="D155" s="70"/>
      <c r="E155" s="70"/>
      <c r="F155" s="70"/>
      <c r="G155" s="70"/>
      <c r="H155" s="136"/>
      <c r="I155" s="136"/>
      <c r="J155" s="136"/>
      <c r="K155" s="136"/>
      <c r="L155" s="42"/>
      <c r="M155" s="73"/>
    </row>
    <row r="156" spans="1:13" ht="12">
      <c r="A156" s="55"/>
      <c r="C156" s="56" t="s">
        <v>535</v>
      </c>
      <c r="D156" s="47">
        <f>AVERAGE(D5,D11,D16,D37,D44,D54,D62,D63,D67,D88,D93)</f>
        <v>0.7431018438776547</v>
      </c>
      <c r="F156" s="49"/>
      <c r="G156" s="49"/>
      <c r="K156" s="56"/>
      <c r="L156" s="56"/>
      <c r="M156" s="47"/>
    </row>
    <row r="157" spans="2:13" ht="12">
      <c r="B157" s="137"/>
      <c r="C157" s="56" t="s">
        <v>499</v>
      </c>
      <c r="D157" s="47">
        <v>0.85</v>
      </c>
      <c r="L157" s="56"/>
      <c r="M157" s="47"/>
    </row>
    <row r="158" spans="1:13" ht="12">
      <c r="A158" s="49"/>
      <c r="B158" s="137"/>
      <c r="C158" s="137"/>
      <c r="D158" s="49"/>
      <c r="E158" s="49"/>
      <c r="F158" s="49"/>
      <c r="G158" s="49"/>
      <c r="H158" s="137"/>
      <c r="I158" s="137"/>
      <c r="J158" s="137"/>
      <c r="K158" s="137"/>
      <c r="L158" s="49"/>
      <c r="M158" s="49"/>
    </row>
    <row r="159" spans="1:13" ht="12">
      <c r="A159" s="49"/>
      <c r="B159" s="137"/>
      <c r="C159" s="137"/>
      <c r="D159" s="49"/>
      <c r="E159" s="49"/>
      <c r="F159" s="49"/>
      <c r="G159" s="49"/>
      <c r="H159" s="137"/>
      <c r="I159" s="137"/>
      <c r="J159" s="137"/>
      <c r="K159" s="137"/>
      <c r="L159" s="49"/>
      <c r="M159" s="49"/>
    </row>
    <row r="160" spans="1:13" ht="12">
      <c r="A160" s="49"/>
      <c r="B160" s="137"/>
      <c r="C160" s="137"/>
      <c r="D160" s="49"/>
      <c r="E160" s="49"/>
      <c r="F160" s="49"/>
      <c r="G160" s="49"/>
      <c r="H160" s="137"/>
      <c r="I160" s="137"/>
      <c r="J160" s="137"/>
      <c r="K160" s="137"/>
      <c r="L160" s="49"/>
      <c r="M160" s="49"/>
    </row>
    <row r="161" spans="1:13" ht="12">
      <c r="A161" s="49"/>
      <c r="B161" s="137"/>
      <c r="C161" s="137"/>
      <c r="D161" s="49"/>
      <c r="E161" s="49"/>
      <c r="F161" s="49"/>
      <c r="G161" s="49"/>
      <c r="H161" s="137"/>
      <c r="I161" s="137"/>
      <c r="J161" s="137"/>
      <c r="K161" s="137"/>
      <c r="L161" s="49"/>
      <c r="M161" s="49"/>
    </row>
    <row r="162" spans="1:13" ht="12">
      <c r="A162" s="49"/>
      <c r="B162" s="137"/>
      <c r="C162" s="137"/>
      <c r="D162" s="49"/>
      <c r="E162" s="49"/>
      <c r="F162" s="49"/>
      <c r="G162" s="49"/>
      <c r="H162" s="137"/>
      <c r="I162" s="137"/>
      <c r="J162" s="137"/>
      <c r="K162" s="137"/>
      <c r="L162" s="49"/>
      <c r="M162" s="49"/>
    </row>
    <row r="163" spans="1:13" ht="12">
      <c r="A163" s="49"/>
      <c r="B163" s="137"/>
      <c r="C163" s="137"/>
      <c r="D163" s="49"/>
      <c r="E163" s="49"/>
      <c r="F163" s="49"/>
      <c r="G163" s="49"/>
      <c r="H163" s="137"/>
      <c r="I163" s="137"/>
      <c r="J163" s="137"/>
      <c r="K163" s="137"/>
      <c r="L163" s="49"/>
      <c r="M163" s="49"/>
    </row>
    <row r="164" spans="1:13" ht="12">
      <c r="A164" s="49"/>
      <c r="B164" s="137"/>
      <c r="C164" s="137"/>
      <c r="D164" s="49"/>
      <c r="E164" s="49"/>
      <c r="F164" s="49"/>
      <c r="G164" s="49"/>
      <c r="H164" s="137"/>
      <c r="I164" s="137"/>
      <c r="J164" s="137"/>
      <c r="K164" s="137"/>
      <c r="L164" s="49"/>
      <c r="M164" s="49"/>
    </row>
    <row r="165" spans="1:13" ht="12">
      <c r="A165" s="49"/>
      <c r="B165" s="137"/>
      <c r="C165" s="137"/>
      <c r="D165" s="49"/>
      <c r="E165" s="49"/>
      <c r="F165" s="49"/>
      <c r="G165" s="49"/>
      <c r="H165" s="137"/>
      <c r="I165" s="137"/>
      <c r="J165" s="137"/>
      <c r="K165" s="137"/>
      <c r="L165" s="49"/>
      <c r="M165" s="49"/>
    </row>
    <row r="166" spans="1:13" ht="12">
      <c r="A166" s="49"/>
      <c r="B166" s="137"/>
      <c r="C166" s="137"/>
      <c r="D166" s="49"/>
      <c r="E166" s="49"/>
      <c r="F166" s="49"/>
      <c r="G166" s="49"/>
      <c r="H166" s="137"/>
      <c r="I166" s="137"/>
      <c r="J166" s="137"/>
      <c r="K166" s="137"/>
      <c r="L166" s="49"/>
      <c r="M166" s="49"/>
    </row>
    <row r="167" spans="1:13" ht="12.75">
      <c r="A167" s="38"/>
      <c r="B167" s="138"/>
      <c r="C167" s="138"/>
      <c r="D167" s="39"/>
      <c r="E167" s="40"/>
      <c r="F167" s="40"/>
      <c r="G167" s="40"/>
      <c r="H167" s="145"/>
      <c r="I167" s="147"/>
      <c r="J167" s="147"/>
      <c r="K167" s="136"/>
      <c r="L167" s="42"/>
      <c r="M167" s="73"/>
    </row>
    <row r="168" spans="1:13" ht="13.5">
      <c r="A168" s="51"/>
      <c r="B168" s="72"/>
      <c r="C168" s="72"/>
      <c r="D168" s="72"/>
      <c r="E168" s="51"/>
      <c r="F168" s="40"/>
      <c r="G168" s="43"/>
      <c r="H168" s="145"/>
      <c r="I168" s="148"/>
      <c r="J168" s="148"/>
      <c r="K168" s="136"/>
      <c r="L168" s="42"/>
      <c r="M168" s="73"/>
    </row>
    <row r="169" spans="1:13" ht="12">
      <c r="A169" s="67"/>
      <c r="B169" s="136"/>
      <c r="C169" s="136"/>
      <c r="D169" s="70"/>
      <c r="E169" s="71"/>
      <c r="F169" s="70"/>
      <c r="G169" s="70"/>
      <c r="H169" s="136"/>
      <c r="I169" s="136"/>
      <c r="J169" s="136"/>
      <c r="K169" s="136"/>
      <c r="L169" s="42"/>
      <c r="M169" s="73"/>
    </row>
    <row r="170" spans="1:13" ht="12">
      <c r="A170" s="67"/>
      <c r="C170" s="56"/>
      <c r="F170" s="56"/>
      <c r="H170" s="136"/>
      <c r="I170" s="136"/>
      <c r="J170" s="136"/>
      <c r="K170" s="136"/>
      <c r="L170" s="42"/>
      <c r="M170" s="73"/>
    </row>
    <row r="171" spans="1:13" ht="12">
      <c r="A171" s="67"/>
      <c r="B171" s="136"/>
      <c r="C171" s="136"/>
      <c r="D171" s="70"/>
      <c r="E171" s="71"/>
      <c r="L171" s="26"/>
      <c r="M171" s="57"/>
    </row>
    <row r="172" spans="1:13" ht="12">
      <c r="A172" s="67"/>
      <c r="B172" s="136"/>
      <c r="C172" s="136"/>
      <c r="D172" s="70"/>
      <c r="E172" s="71"/>
      <c r="L172" s="26"/>
      <c r="M172" s="57"/>
    </row>
    <row r="173" spans="1:13" ht="12">
      <c r="A173" s="67"/>
      <c r="B173" s="136"/>
      <c r="C173" s="136"/>
      <c r="D173" s="70"/>
      <c r="E173" s="71"/>
      <c r="L173" s="26"/>
      <c r="M173" s="57"/>
    </row>
    <row r="174" spans="1:13" ht="12">
      <c r="A174" s="67"/>
      <c r="B174" s="136"/>
      <c r="C174" s="136"/>
      <c r="D174" s="70"/>
      <c r="E174" s="71"/>
      <c r="L174" s="26"/>
      <c r="M174" s="57"/>
    </row>
    <row r="175" spans="12:13" ht="12">
      <c r="L175" s="26"/>
      <c r="M175" s="57"/>
    </row>
    <row r="176" spans="12:13" ht="12">
      <c r="L176" s="26"/>
      <c r="M176" s="57"/>
    </row>
    <row r="177" spans="12:13" ht="12">
      <c r="L177" s="26"/>
      <c r="M177" s="57"/>
    </row>
    <row r="178" spans="12:13" ht="12">
      <c r="L178" s="26"/>
      <c r="M178" s="57"/>
    </row>
    <row r="179" spans="12:13" ht="12">
      <c r="L179" s="26"/>
      <c r="M179" s="57"/>
    </row>
    <row r="180" spans="12:13" ht="12">
      <c r="L180" s="26"/>
      <c r="M180" s="57"/>
    </row>
    <row r="181" spans="12:13" ht="12">
      <c r="L181" s="26"/>
      <c r="M181" s="57"/>
    </row>
    <row r="182" spans="12:13" ht="12">
      <c r="L182" s="26"/>
      <c r="M182" s="57"/>
    </row>
    <row r="183" spans="12:13" ht="12">
      <c r="L183" s="26"/>
      <c r="M183" s="57"/>
    </row>
    <row r="184" spans="12:13" ht="12">
      <c r="L184" s="26"/>
      <c r="M184" s="57"/>
    </row>
    <row r="185" spans="12:13" ht="12">
      <c r="L185" s="26"/>
      <c r="M185" s="57"/>
    </row>
    <row r="186" spans="12:13" ht="12">
      <c r="L186" s="26"/>
      <c r="M186" s="57"/>
    </row>
    <row r="187" spans="12:13" ht="12">
      <c r="L187" s="26"/>
      <c r="M187" s="57"/>
    </row>
    <row r="188" spans="12:13" ht="12">
      <c r="L188" s="26"/>
      <c r="M188" s="57"/>
    </row>
    <row r="189" spans="12:13" ht="12">
      <c r="L189" s="26"/>
      <c r="M189" s="57"/>
    </row>
    <row r="190" spans="12:13" ht="12">
      <c r="L190" s="26"/>
      <c r="M190" s="57"/>
    </row>
    <row r="191" spans="12:13" ht="12">
      <c r="L191" s="26"/>
      <c r="M191" s="57"/>
    </row>
    <row r="192" spans="12:13" ht="12">
      <c r="L192" s="26"/>
      <c r="M192" s="57"/>
    </row>
    <row r="193" spans="12:13" ht="12">
      <c r="L193" s="26"/>
      <c r="M193" s="57"/>
    </row>
    <row r="194" spans="12:13" ht="12">
      <c r="L194" s="26"/>
      <c r="M194" s="57"/>
    </row>
    <row r="195" spans="12:13" ht="12">
      <c r="L195" s="26"/>
      <c r="M195" s="57"/>
    </row>
    <row r="196" spans="12:13" ht="12">
      <c r="L196" s="26"/>
      <c r="M196" s="57"/>
    </row>
    <row r="197" spans="12:13" ht="12">
      <c r="L197" s="26"/>
      <c r="M197" s="57"/>
    </row>
    <row r="198" spans="12:13" ht="12">
      <c r="L198" s="26"/>
      <c r="M198" s="57"/>
    </row>
    <row r="199" spans="12:13" ht="12">
      <c r="L199" s="26"/>
      <c r="M199" s="57"/>
    </row>
    <row r="200" spans="12:13" ht="12">
      <c r="L200" s="26"/>
      <c r="M200" s="57"/>
    </row>
    <row r="201" spans="12:13" ht="12">
      <c r="L201" s="26"/>
      <c r="M201" s="57"/>
    </row>
    <row r="202" spans="12:13" ht="12">
      <c r="L202" s="26"/>
      <c r="M202" s="57"/>
    </row>
    <row r="203" spans="12:13" ht="12">
      <c r="L203" s="26"/>
      <c r="M203" s="57"/>
    </row>
    <row r="204" spans="12:13" ht="12">
      <c r="L204" s="26"/>
      <c r="M204" s="57"/>
    </row>
    <row r="205" spans="12:13" ht="12">
      <c r="L205" s="26"/>
      <c r="M205" s="57"/>
    </row>
    <row r="206" spans="12:13" ht="12">
      <c r="L206" s="26"/>
      <c r="M206" s="57"/>
    </row>
    <row r="207" spans="12:13" ht="12">
      <c r="L207" s="26"/>
      <c r="M207" s="57"/>
    </row>
    <row r="208" spans="12:13" ht="12">
      <c r="L208" s="26"/>
      <c r="M208" s="57"/>
    </row>
    <row r="209" spans="12:13" ht="12">
      <c r="L209" s="26"/>
      <c r="M209" s="57"/>
    </row>
    <row r="210" spans="12:13" ht="12">
      <c r="L210" s="26"/>
      <c r="M210" s="57"/>
    </row>
    <row r="211" spans="12:13" ht="12">
      <c r="L211" s="26"/>
      <c r="M211" s="57"/>
    </row>
    <row r="212" spans="12:13" ht="12">
      <c r="L212" s="26"/>
      <c r="M212" s="57"/>
    </row>
    <row r="213" spans="12:13" ht="12">
      <c r="L213" s="26"/>
      <c r="M213" s="57"/>
    </row>
    <row r="214" spans="12:13" ht="12">
      <c r="L214" s="26"/>
      <c r="M214" s="57"/>
    </row>
    <row r="215" spans="12:13" ht="12">
      <c r="L215" s="26"/>
      <c r="M215" s="57"/>
    </row>
    <row r="216" spans="12:13" ht="12">
      <c r="L216" s="26"/>
      <c r="M216" s="57"/>
    </row>
    <row r="217" spans="12:13" ht="12">
      <c r="L217" s="26"/>
      <c r="M217" s="57"/>
    </row>
    <row r="218" spans="12:13" ht="12">
      <c r="L218" s="26"/>
      <c r="M218" s="57"/>
    </row>
    <row r="219" spans="12:13" ht="12">
      <c r="L219" s="26"/>
      <c r="M219" s="57"/>
    </row>
    <row r="220" spans="12:13" ht="12">
      <c r="L220" s="26"/>
      <c r="M220" s="57"/>
    </row>
    <row r="221" spans="12:13" ht="12">
      <c r="L221" s="26"/>
      <c r="M221" s="57"/>
    </row>
    <row r="222" spans="12:13" ht="12">
      <c r="L222" s="26"/>
      <c r="M222" s="57"/>
    </row>
    <row r="223" spans="12:13" ht="12">
      <c r="L223" s="26"/>
      <c r="M223" s="57"/>
    </row>
    <row r="224" spans="12:13" ht="12">
      <c r="L224" s="26"/>
      <c r="M224" s="57"/>
    </row>
    <row r="225" spans="12:13" ht="12">
      <c r="L225" s="26"/>
      <c r="M225" s="57"/>
    </row>
    <row r="226" spans="12:13" ht="12">
      <c r="L226" s="26"/>
      <c r="M226" s="57"/>
    </row>
    <row r="227" spans="12:13" ht="12">
      <c r="L227" s="26"/>
      <c r="M227" s="57"/>
    </row>
    <row r="228" spans="12:13" ht="12">
      <c r="L228" s="26"/>
      <c r="M228" s="57"/>
    </row>
    <row r="229" spans="12:13" ht="12">
      <c r="L229" s="26"/>
      <c r="M229" s="57"/>
    </row>
    <row r="230" spans="12:13" ht="12">
      <c r="L230" s="26"/>
      <c r="M230" s="57"/>
    </row>
    <row r="231" spans="12:13" ht="12">
      <c r="L231" s="26"/>
      <c r="M231" s="57"/>
    </row>
    <row r="232" spans="12:13" ht="12">
      <c r="L232" s="26"/>
      <c r="M232" s="57"/>
    </row>
    <row r="233" spans="12:13" ht="12">
      <c r="L233" s="26"/>
      <c r="M233" s="57"/>
    </row>
    <row r="234" spans="12:13" ht="12">
      <c r="L234" s="26"/>
      <c r="M234" s="57"/>
    </row>
    <row r="235" spans="12:13" ht="12">
      <c r="L235" s="26"/>
      <c r="M235" s="57"/>
    </row>
    <row r="236" spans="12:13" ht="12">
      <c r="L236" s="26"/>
      <c r="M236" s="57"/>
    </row>
    <row r="237" spans="12:13" ht="12">
      <c r="L237" s="26"/>
      <c r="M237" s="57"/>
    </row>
    <row r="238" spans="12:13" ht="12">
      <c r="L238" s="26"/>
      <c r="M238" s="57"/>
    </row>
    <row r="239" spans="12:13" ht="12">
      <c r="L239" s="26"/>
      <c r="M239" s="57"/>
    </row>
    <row r="240" spans="12:13" ht="12">
      <c r="L240" s="26"/>
      <c r="M240" s="57"/>
    </row>
    <row r="241" spans="12:13" ht="12">
      <c r="L241" s="26"/>
      <c r="M241" s="57"/>
    </row>
    <row r="242" spans="12:13" ht="12">
      <c r="L242" s="26"/>
      <c r="M242" s="57"/>
    </row>
    <row r="243" spans="12:13" ht="12">
      <c r="L243" s="26"/>
      <c r="M243" s="57"/>
    </row>
    <row r="244" spans="12:13" ht="12">
      <c r="L244" s="26"/>
      <c r="M244" s="57"/>
    </row>
    <row r="245" spans="12:13" ht="12">
      <c r="L245" s="26"/>
      <c r="M245" s="57"/>
    </row>
    <row r="246" spans="12:13" ht="12">
      <c r="L246" s="26"/>
      <c r="M246" s="57"/>
    </row>
    <row r="247" spans="12:13" ht="12">
      <c r="L247" s="26"/>
      <c r="M247" s="57"/>
    </row>
    <row r="248" spans="12:13" ht="12">
      <c r="L248" s="26"/>
      <c r="M248" s="57"/>
    </row>
    <row r="249" spans="12:13" ht="12">
      <c r="L249" s="26"/>
      <c r="M249" s="57"/>
    </row>
    <row r="250" spans="12:13" ht="12">
      <c r="L250" s="26"/>
      <c r="M250" s="57"/>
    </row>
    <row r="251" spans="12:13" ht="12">
      <c r="L251" s="26"/>
      <c r="M251" s="57"/>
    </row>
    <row r="252" spans="12:13" ht="12">
      <c r="L252" s="26"/>
      <c r="M252" s="57"/>
    </row>
    <row r="253" spans="12:13" ht="12">
      <c r="L253" s="26"/>
      <c r="M253" s="57"/>
    </row>
    <row r="254" spans="12:13" ht="12">
      <c r="L254" s="26"/>
      <c r="M254" s="57"/>
    </row>
    <row r="255" spans="12:13" ht="12">
      <c r="L255" s="26"/>
      <c r="M255" s="57"/>
    </row>
    <row r="256" spans="12:13" ht="12">
      <c r="L256" s="26"/>
      <c r="M256" s="57"/>
    </row>
    <row r="257" spans="12:13" ht="12">
      <c r="L257" s="26"/>
      <c r="M257" s="57"/>
    </row>
    <row r="258" spans="12:13" ht="12">
      <c r="L258" s="26"/>
      <c r="M258" s="57"/>
    </row>
    <row r="259" spans="12:13" ht="12">
      <c r="L259" s="26"/>
      <c r="M259" s="57"/>
    </row>
    <row r="260" spans="12:13" ht="12">
      <c r="L260" s="26"/>
      <c r="M260" s="57"/>
    </row>
    <row r="261" spans="12:13" ht="12">
      <c r="L261" s="26"/>
      <c r="M261" s="57"/>
    </row>
    <row r="262" spans="12:13" ht="12">
      <c r="L262" s="26"/>
      <c r="M262" s="57"/>
    </row>
    <row r="263" spans="12:13" ht="12">
      <c r="L263" s="26"/>
      <c r="M263" s="57"/>
    </row>
    <row r="264" spans="12:13" ht="12">
      <c r="L264" s="26"/>
      <c r="M264" s="57"/>
    </row>
    <row r="265" spans="12:13" ht="12">
      <c r="L265" s="26"/>
      <c r="M265" s="57"/>
    </row>
    <row r="266" spans="12:13" ht="12">
      <c r="L266" s="26"/>
      <c r="M266" s="57"/>
    </row>
    <row r="267" spans="12:13" ht="12">
      <c r="L267" s="26"/>
      <c r="M267" s="57"/>
    </row>
    <row r="268" spans="12:13" ht="12">
      <c r="L268" s="26"/>
      <c r="M268" s="57"/>
    </row>
    <row r="269" spans="12:13" ht="12">
      <c r="L269" s="26"/>
      <c r="M269" s="57"/>
    </row>
    <row r="270" spans="12:13" ht="12">
      <c r="L270" s="26"/>
      <c r="M270" s="57"/>
    </row>
    <row r="271" spans="12:13" ht="12">
      <c r="L271" s="26"/>
      <c r="M271" s="57"/>
    </row>
    <row r="272" spans="12:13" ht="12">
      <c r="L272" s="26"/>
      <c r="M272" s="57"/>
    </row>
    <row r="273" spans="12:13" ht="12">
      <c r="L273" s="26"/>
      <c r="M273" s="57"/>
    </row>
    <row r="274" spans="12:13" ht="12">
      <c r="L274" s="26"/>
      <c r="M274" s="57"/>
    </row>
    <row r="275" spans="12:13" ht="12">
      <c r="L275" s="26"/>
      <c r="M275" s="57"/>
    </row>
    <row r="276" spans="12:13" ht="12">
      <c r="L276" s="26"/>
      <c r="M276" s="57"/>
    </row>
    <row r="277" spans="12:13" ht="12">
      <c r="L277" s="26"/>
      <c r="M277" s="57"/>
    </row>
    <row r="278" spans="12:13" ht="12">
      <c r="L278" s="26"/>
      <c r="M278" s="57"/>
    </row>
    <row r="279" spans="12:13" ht="12">
      <c r="L279" s="26"/>
      <c r="M279" s="57"/>
    </row>
    <row r="280" spans="12:13" ht="12">
      <c r="L280" s="26"/>
      <c r="M280" s="57"/>
    </row>
    <row r="281" spans="12:13" ht="12">
      <c r="L281" s="26"/>
      <c r="M281" s="57"/>
    </row>
    <row r="282" spans="12:13" ht="12">
      <c r="L282" s="26"/>
      <c r="M282" s="57"/>
    </row>
    <row r="283" spans="12:13" ht="12">
      <c r="L283" s="26"/>
      <c r="M283" s="57"/>
    </row>
    <row r="284" spans="12:13" ht="12">
      <c r="L284" s="26"/>
      <c r="M284" s="57"/>
    </row>
    <row r="285" spans="12:13" ht="12">
      <c r="L285" s="26"/>
      <c r="M285" s="57"/>
    </row>
    <row r="286" spans="12:13" ht="12">
      <c r="L286" s="26"/>
      <c r="M286" s="57"/>
    </row>
    <row r="287" spans="12:13" ht="12">
      <c r="L287" s="26"/>
      <c r="M287" s="57"/>
    </row>
    <row r="288" spans="12:13" ht="12">
      <c r="L288" s="26"/>
      <c r="M288" s="57"/>
    </row>
    <row r="289" spans="12:13" ht="12">
      <c r="L289" s="26"/>
      <c r="M289" s="57"/>
    </row>
    <row r="290" spans="12:13" ht="12">
      <c r="L290" s="26"/>
      <c r="M290" s="57"/>
    </row>
    <row r="291" spans="12:13" ht="12">
      <c r="L291" s="26"/>
      <c r="M291" s="57"/>
    </row>
    <row r="292" spans="12:13" ht="12">
      <c r="L292" s="26"/>
      <c r="M292" s="57"/>
    </row>
    <row r="293" spans="12:13" ht="12">
      <c r="L293" s="26"/>
      <c r="M293" s="57"/>
    </row>
    <row r="294" spans="12:13" ht="12">
      <c r="L294" s="26"/>
      <c r="M294" s="57"/>
    </row>
    <row r="295" spans="12:13" ht="12">
      <c r="L295" s="26"/>
      <c r="M295" s="57"/>
    </row>
    <row r="296" spans="12:13" ht="12">
      <c r="L296" s="26"/>
      <c r="M296" s="57"/>
    </row>
    <row r="297" spans="12:13" ht="12">
      <c r="L297" s="26"/>
      <c r="M297" s="57"/>
    </row>
    <row r="298" spans="12:13" ht="12">
      <c r="L298" s="26"/>
      <c r="M298" s="57"/>
    </row>
    <row r="299" spans="12:13" ht="12">
      <c r="L299" s="26"/>
      <c r="M299" s="57"/>
    </row>
    <row r="300" spans="12:13" ht="12">
      <c r="L300" s="26"/>
      <c r="M300" s="57"/>
    </row>
    <row r="301" spans="12:13" ht="12">
      <c r="L301" s="26"/>
      <c r="M301" s="57"/>
    </row>
    <row r="302" spans="12:13" ht="12">
      <c r="L302" s="26"/>
      <c r="M302" s="57"/>
    </row>
    <row r="303" spans="12:13" ht="12">
      <c r="L303" s="26"/>
      <c r="M303" s="57"/>
    </row>
    <row r="304" spans="12:13" ht="12">
      <c r="L304" s="26"/>
      <c r="M304" s="57"/>
    </row>
    <row r="305" spans="12:13" ht="12">
      <c r="L305" s="26"/>
      <c r="M305" s="57"/>
    </row>
    <row r="306" spans="12:13" ht="12">
      <c r="L306" s="26"/>
      <c r="M306" s="57"/>
    </row>
    <row r="307" spans="12:13" ht="12">
      <c r="L307" s="26"/>
      <c r="M307" s="57"/>
    </row>
    <row r="308" spans="12:13" ht="12">
      <c r="L308" s="26"/>
      <c r="M308" s="57"/>
    </row>
    <row r="309" spans="12:13" ht="12">
      <c r="L309" s="26"/>
      <c r="M309" s="57"/>
    </row>
    <row r="310" spans="12:13" ht="12">
      <c r="L310" s="26"/>
      <c r="M310" s="57"/>
    </row>
    <row r="311" spans="12:13" ht="12">
      <c r="L311" s="26"/>
      <c r="M311" s="57"/>
    </row>
    <row r="312" spans="12:13" ht="12">
      <c r="L312" s="26"/>
      <c r="M312" s="57"/>
    </row>
    <row r="313" spans="12:13" ht="12">
      <c r="L313" s="26"/>
      <c r="M313" s="57"/>
    </row>
    <row r="314" spans="12:13" ht="12">
      <c r="L314" s="26"/>
      <c r="M314" s="57"/>
    </row>
    <row r="315" spans="12:13" ht="12">
      <c r="L315" s="26"/>
      <c r="M315" s="57"/>
    </row>
    <row r="316" spans="12:13" ht="12">
      <c r="L316" s="26"/>
      <c r="M316" s="57"/>
    </row>
    <row r="317" spans="12:13" ht="12">
      <c r="L317" s="26"/>
      <c r="M317" s="57"/>
    </row>
    <row r="318" spans="12:13" ht="12">
      <c r="L318" s="26"/>
      <c r="M318" s="57"/>
    </row>
    <row r="319" spans="12:13" ht="12">
      <c r="L319" s="26"/>
      <c r="M319" s="57"/>
    </row>
    <row r="320" spans="12:13" ht="12">
      <c r="L320" s="26"/>
      <c r="M320" s="57"/>
    </row>
    <row r="321" spans="12:13" ht="12">
      <c r="L321" s="26"/>
      <c r="M321" s="57"/>
    </row>
    <row r="322" spans="12:13" ht="12">
      <c r="L322" s="26"/>
      <c r="M322" s="57"/>
    </row>
    <row r="323" spans="12:13" ht="12">
      <c r="L323" s="26"/>
      <c r="M323" s="57"/>
    </row>
    <row r="324" spans="12:13" ht="12">
      <c r="L324" s="26"/>
      <c r="M324" s="57"/>
    </row>
    <row r="325" spans="12:13" ht="12">
      <c r="L325" s="26"/>
      <c r="M325" s="57"/>
    </row>
    <row r="326" spans="12:13" ht="12">
      <c r="L326" s="26"/>
      <c r="M326" s="57"/>
    </row>
    <row r="327" spans="12:13" ht="12">
      <c r="L327" s="26"/>
      <c r="M327" s="57"/>
    </row>
    <row r="328" spans="12:13" ht="12">
      <c r="L328" s="26"/>
      <c r="M328" s="57"/>
    </row>
    <row r="329" spans="12:13" ht="12">
      <c r="L329" s="26"/>
      <c r="M329" s="57"/>
    </row>
    <row r="330" spans="12:13" ht="12">
      <c r="L330" s="26"/>
      <c r="M330" s="57"/>
    </row>
    <row r="331" spans="12:13" ht="12">
      <c r="L331" s="26"/>
      <c r="M331" s="57"/>
    </row>
    <row r="332" spans="12:13" ht="12">
      <c r="L332" s="26"/>
      <c r="M332" s="57"/>
    </row>
    <row r="333" spans="12:13" ht="12">
      <c r="L333" s="26"/>
      <c r="M333" s="57"/>
    </row>
    <row r="334" spans="12:13" ht="12">
      <c r="L334" s="26"/>
      <c r="M334" s="57"/>
    </row>
    <row r="335" spans="12:13" ht="12">
      <c r="L335" s="26"/>
      <c r="M335" s="57"/>
    </row>
    <row r="336" spans="12:13" ht="12">
      <c r="L336" s="26"/>
      <c r="M336" s="57"/>
    </row>
    <row r="337" spans="12:13" ht="12">
      <c r="L337" s="26"/>
      <c r="M337" s="57"/>
    </row>
    <row r="338" spans="12:13" ht="12">
      <c r="L338" s="26"/>
      <c r="M338" s="57"/>
    </row>
    <row r="339" spans="12:13" ht="12">
      <c r="L339" s="26"/>
      <c r="M339" s="57"/>
    </row>
    <row r="340" spans="12:13" ht="12">
      <c r="L340" s="26"/>
      <c r="M340" s="57"/>
    </row>
    <row r="341" spans="12:13" ht="12">
      <c r="L341" s="26"/>
      <c r="M341" s="57"/>
    </row>
    <row r="342" spans="12:13" ht="12">
      <c r="L342" s="26"/>
      <c r="M342" s="57"/>
    </row>
    <row r="343" spans="12:13" ht="12">
      <c r="L343" s="26"/>
      <c r="M343" s="57"/>
    </row>
    <row r="344" spans="12:13" ht="12">
      <c r="L344" s="26"/>
      <c r="M344" s="57"/>
    </row>
    <row r="345" spans="12:13" ht="12">
      <c r="L345" s="26"/>
      <c r="M345" s="57"/>
    </row>
    <row r="346" spans="12:13" ht="12">
      <c r="L346" s="26"/>
      <c r="M346" s="57"/>
    </row>
    <row r="347" spans="12:13" ht="12">
      <c r="L347" s="26"/>
      <c r="M347" s="57"/>
    </row>
    <row r="348" spans="12:13" ht="12">
      <c r="L348" s="26"/>
      <c r="M348" s="57"/>
    </row>
    <row r="349" spans="12:13" ht="12">
      <c r="L349" s="26"/>
      <c r="M349" s="57"/>
    </row>
    <row r="350" spans="12:13" ht="12">
      <c r="L350" s="26"/>
      <c r="M350" s="57"/>
    </row>
    <row r="351" spans="12:13" ht="12">
      <c r="L351" s="26"/>
      <c r="M351" s="57"/>
    </row>
    <row r="352" spans="12:13" ht="12">
      <c r="L352" s="26"/>
      <c r="M352" s="57"/>
    </row>
    <row r="353" spans="12:13" ht="12">
      <c r="L353" s="26"/>
      <c r="M353" s="57"/>
    </row>
    <row r="354" spans="12:13" ht="12">
      <c r="L354" s="26"/>
      <c r="M354" s="57"/>
    </row>
    <row r="355" spans="12:13" ht="12">
      <c r="L355" s="26"/>
      <c r="M355" s="57"/>
    </row>
    <row r="356" spans="12:13" ht="12">
      <c r="L356" s="26"/>
      <c r="M356" s="57"/>
    </row>
    <row r="357" spans="12:13" ht="12">
      <c r="L357" s="26"/>
      <c r="M357" s="57"/>
    </row>
    <row r="358" spans="12:13" ht="12">
      <c r="L358" s="26"/>
      <c r="M358" s="57"/>
    </row>
    <row r="359" spans="12:13" ht="12">
      <c r="L359" s="26"/>
      <c r="M359" s="57"/>
    </row>
    <row r="360" spans="12:13" ht="12">
      <c r="L360" s="26"/>
      <c r="M360" s="57"/>
    </row>
    <row r="361" spans="12:13" ht="12">
      <c r="L361" s="26"/>
      <c r="M361" s="57"/>
    </row>
    <row r="362" spans="12:13" ht="12">
      <c r="L362" s="26"/>
      <c r="M362" s="57"/>
    </row>
    <row r="363" spans="12:13" ht="12">
      <c r="L363" s="26"/>
      <c r="M363" s="57"/>
    </row>
    <row r="364" spans="12:13" ht="12">
      <c r="L364" s="26"/>
      <c r="M364" s="57"/>
    </row>
    <row r="365" spans="12:13" ht="12">
      <c r="L365" s="26"/>
      <c r="M365" s="57"/>
    </row>
    <row r="366" spans="12:13" ht="12">
      <c r="L366" s="26"/>
      <c r="M366" s="57"/>
    </row>
    <row r="367" spans="12:13" ht="12">
      <c r="L367" s="26"/>
      <c r="M367" s="57"/>
    </row>
    <row r="368" spans="12:13" ht="12">
      <c r="L368" s="26"/>
      <c r="M368" s="57"/>
    </row>
    <row r="369" spans="12:13" ht="12">
      <c r="L369" s="26"/>
      <c r="M369" s="57"/>
    </row>
    <row r="370" spans="12:13" ht="12">
      <c r="L370" s="26"/>
      <c r="M370" s="57"/>
    </row>
    <row r="371" spans="12:13" ht="12">
      <c r="L371" s="26"/>
      <c r="M371" s="57"/>
    </row>
    <row r="372" spans="12:13" ht="12">
      <c r="L372" s="26"/>
      <c r="M372" s="57"/>
    </row>
    <row r="373" spans="12:13" ht="12">
      <c r="L373" s="26"/>
      <c r="M373" s="57"/>
    </row>
    <row r="374" spans="12:13" ht="12">
      <c r="L374" s="26"/>
      <c r="M374" s="57"/>
    </row>
    <row r="375" spans="12:13" ht="12">
      <c r="L375" s="26"/>
      <c r="M375" s="57"/>
    </row>
    <row r="376" spans="12:13" ht="12">
      <c r="L376" s="26"/>
      <c r="M376" s="57"/>
    </row>
    <row r="377" spans="12:13" ht="12">
      <c r="L377" s="26"/>
      <c r="M377" s="57"/>
    </row>
    <row r="378" spans="12:13" ht="12">
      <c r="L378" s="26"/>
      <c r="M378" s="57"/>
    </row>
    <row r="379" spans="12:13" ht="12">
      <c r="L379" s="26"/>
      <c r="M379" s="57"/>
    </row>
    <row r="380" spans="12:13" ht="12">
      <c r="L380" s="26"/>
      <c r="M380" s="57"/>
    </row>
    <row r="381" spans="12:13" ht="12">
      <c r="L381" s="26"/>
      <c r="M381" s="57"/>
    </row>
    <row r="382" spans="12:13" ht="12">
      <c r="L382" s="26"/>
      <c r="M382" s="57"/>
    </row>
    <row r="383" spans="12:13" ht="12">
      <c r="L383" s="26"/>
      <c r="M383" s="57"/>
    </row>
    <row r="384" spans="12:13" ht="12">
      <c r="L384" s="26"/>
      <c r="M384" s="57"/>
    </row>
    <row r="385" spans="12:13" ht="12">
      <c r="L385" s="26"/>
      <c r="M385" s="57"/>
    </row>
    <row r="386" spans="12:13" ht="12">
      <c r="L386" s="26"/>
      <c r="M386" s="57"/>
    </row>
    <row r="387" spans="12:13" ht="12">
      <c r="L387" s="26"/>
      <c r="M387" s="57"/>
    </row>
    <row r="388" spans="12:13" ht="12">
      <c r="L388" s="26"/>
      <c r="M388" s="57"/>
    </row>
    <row r="389" spans="12:13" ht="12">
      <c r="L389" s="26"/>
      <c r="M389" s="57"/>
    </row>
    <row r="390" spans="12:13" ht="12">
      <c r="L390" s="26"/>
      <c r="M390" s="57"/>
    </row>
    <row r="391" spans="12:13" ht="12">
      <c r="L391" s="26"/>
      <c r="M391" s="57"/>
    </row>
    <row r="392" spans="12:13" ht="12">
      <c r="L392" s="26"/>
      <c r="M392" s="57"/>
    </row>
    <row r="393" spans="12:13" ht="12">
      <c r="L393" s="26"/>
      <c r="M393" s="57"/>
    </row>
    <row r="394" spans="12:13" ht="12">
      <c r="L394" s="26"/>
      <c r="M394" s="57"/>
    </row>
    <row r="395" spans="12:13" ht="12">
      <c r="L395" s="26"/>
      <c r="M395" s="57"/>
    </row>
    <row r="396" spans="12:13" ht="12">
      <c r="L396" s="26"/>
      <c r="M396" s="57"/>
    </row>
    <row r="397" spans="12:13" ht="12">
      <c r="L397" s="26"/>
      <c r="M397" s="57"/>
    </row>
    <row r="398" spans="12:13" ht="12">
      <c r="L398" s="26"/>
      <c r="M398" s="57"/>
    </row>
    <row r="399" spans="12:13" ht="12">
      <c r="L399" s="26"/>
      <c r="M399" s="57"/>
    </row>
    <row r="400" spans="12:13" ht="12">
      <c r="L400" s="26"/>
      <c r="M400" s="57"/>
    </row>
    <row r="401" spans="12:13" ht="12">
      <c r="L401" s="26"/>
      <c r="M401" s="57"/>
    </row>
    <row r="402" spans="12:13" ht="12">
      <c r="L402" s="26"/>
      <c r="M402" s="57"/>
    </row>
    <row r="403" spans="12:13" ht="12">
      <c r="L403" s="26"/>
      <c r="M403" s="57"/>
    </row>
    <row r="404" spans="12:13" ht="12">
      <c r="L404" s="26"/>
      <c r="M404" s="57"/>
    </row>
    <row r="405" spans="12:13" ht="12">
      <c r="L405" s="26"/>
      <c r="M405" s="57"/>
    </row>
    <row r="406" spans="12:13" ht="12">
      <c r="L406" s="26"/>
      <c r="M406" s="57"/>
    </row>
    <row r="407" spans="12:13" ht="12">
      <c r="L407" s="26"/>
      <c r="M407" s="57"/>
    </row>
    <row r="408" spans="12:13" ht="12">
      <c r="L408" s="26"/>
      <c r="M408" s="57"/>
    </row>
    <row r="409" spans="12:13" ht="12">
      <c r="L409" s="26"/>
      <c r="M409" s="57"/>
    </row>
    <row r="410" spans="12:13" ht="12">
      <c r="L410" s="26"/>
      <c r="M410" s="57"/>
    </row>
    <row r="411" spans="12:13" ht="12">
      <c r="L411" s="26"/>
      <c r="M411" s="57"/>
    </row>
    <row r="412" spans="12:13" ht="12">
      <c r="L412" s="26"/>
      <c r="M412" s="57"/>
    </row>
    <row r="413" spans="12:13" ht="12">
      <c r="L413" s="26"/>
      <c r="M413" s="57"/>
    </row>
    <row r="414" spans="12:13" ht="12">
      <c r="L414" s="26"/>
      <c r="M414" s="57"/>
    </row>
    <row r="415" spans="12:13" ht="12">
      <c r="L415" s="26"/>
      <c r="M415" s="57"/>
    </row>
    <row r="416" spans="12:13" ht="12">
      <c r="L416" s="26"/>
      <c r="M416" s="57"/>
    </row>
    <row r="417" spans="12:13" ht="12">
      <c r="L417" s="26"/>
      <c r="M417" s="57"/>
    </row>
    <row r="418" spans="12:13" ht="12">
      <c r="L418" s="26"/>
      <c r="M418" s="57"/>
    </row>
    <row r="419" spans="12:13" ht="12">
      <c r="L419" s="26"/>
      <c r="M419" s="57"/>
    </row>
    <row r="420" spans="12:13" ht="12">
      <c r="L420" s="26"/>
      <c r="M420" s="57"/>
    </row>
    <row r="421" spans="12:13" ht="12">
      <c r="L421" s="26"/>
      <c r="M421" s="57"/>
    </row>
    <row r="422" spans="12:13" ht="12">
      <c r="L422" s="26"/>
      <c r="M422" s="57"/>
    </row>
    <row r="423" spans="12:13" ht="12">
      <c r="L423" s="26"/>
      <c r="M423" s="57"/>
    </row>
    <row r="424" spans="12:13" ht="12">
      <c r="L424" s="26"/>
      <c r="M424" s="57"/>
    </row>
    <row r="425" spans="12:13" ht="12">
      <c r="L425" s="26"/>
      <c r="M425" s="57"/>
    </row>
    <row r="426" spans="12:13" ht="12">
      <c r="L426" s="26"/>
      <c r="M426" s="57"/>
    </row>
    <row r="427" spans="12:13" ht="12">
      <c r="L427" s="26"/>
      <c r="M427" s="57"/>
    </row>
    <row r="428" spans="12:13" ht="12">
      <c r="L428" s="26"/>
      <c r="M428" s="57"/>
    </row>
    <row r="429" spans="12:13" ht="12">
      <c r="L429" s="26"/>
      <c r="M429" s="57"/>
    </row>
    <row r="430" spans="12:13" ht="12">
      <c r="L430" s="26"/>
      <c r="M430" s="57"/>
    </row>
    <row r="431" spans="12:13" ht="12">
      <c r="L431" s="26"/>
      <c r="M431" s="57"/>
    </row>
    <row r="432" spans="12:13" ht="12">
      <c r="L432" s="26"/>
      <c r="M432" s="57"/>
    </row>
    <row r="433" spans="12:13" ht="12">
      <c r="L433" s="26"/>
      <c r="M433" s="57"/>
    </row>
    <row r="434" spans="12:13" ht="12">
      <c r="L434" s="26"/>
      <c r="M434" s="57"/>
    </row>
    <row r="435" spans="12:13" ht="12">
      <c r="L435" s="26"/>
      <c r="M435" s="57"/>
    </row>
    <row r="436" spans="12:13" ht="12">
      <c r="L436" s="26"/>
      <c r="M436" s="57"/>
    </row>
    <row r="437" spans="12:13" ht="12">
      <c r="L437" s="26"/>
      <c r="M437" s="57"/>
    </row>
    <row r="438" spans="12:13" ht="12">
      <c r="L438" s="26"/>
      <c r="M438" s="57"/>
    </row>
    <row r="439" spans="12:13" ht="12">
      <c r="L439" s="26"/>
      <c r="M439" s="57"/>
    </row>
    <row r="440" spans="12:13" ht="12">
      <c r="L440" s="26"/>
      <c r="M440" s="57"/>
    </row>
    <row r="441" spans="12:13" ht="12">
      <c r="L441" s="26"/>
      <c r="M441" s="57"/>
    </row>
    <row r="442" spans="12:13" ht="12">
      <c r="L442" s="26"/>
      <c r="M442" s="57"/>
    </row>
    <row r="443" spans="12:13" ht="12">
      <c r="L443" s="26"/>
      <c r="M443" s="57"/>
    </row>
    <row r="444" spans="12:13" ht="12">
      <c r="L444" s="26"/>
      <c r="M444" s="57"/>
    </row>
    <row r="445" spans="12:13" ht="12">
      <c r="L445" s="26"/>
      <c r="M445" s="57"/>
    </row>
    <row r="446" spans="12:13" ht="12">
      <c r="L446" s="26"/>
      <c r="M446" s="57"/>
    </row>
    <row r="447" spans="12:13" ht="12">
      <c r="L447" s="26"/>
      <c r="M447" s="57"/>
    </row>
    <row r="448" spans="12:13" ht="12">
      <c r="L448" s="26"/>
      <c r="M448" s="57"/>
    </row>
    <row r="449" spans="12:13" ht="12">
      <c r="L449" s="26"/>
      <c r="M449" s="57"/>
    </row>
    <row r="450" spans="12:13" ht="12">
      <c r="L450" s="26"/>
      <c r="M450" s="57"/>
    </row>
    <row r="451" spans="12:13" ht="12">
      <c r="L451" s="26"/>
      <c r="M451" s="57"/>
    </row>
    <row r="452" spans="12:13" ht="12">
      <c r="L452" s="26"/>
      <c r="M452" s="57"/>
    </row>
    <row r="453" spans="12:13" ht="12">
      <c r="L453" s="26"/>
      <c r="M453" s="57"/>
    </row>
    <row r="454" spans="12:13" ht="12">
      <c r="L454" s="26"/>
      <c r="M454" s="57"/>
    </row>
    <row r="455" spans="12:13" ht="12">
      <c r="L455" s="26"/>
      <c r="M455" s="57"/>
    </row>
    <row r="456" spans="12:13" ht="12">
      <c r="L456" s="26"/>
      <c r="M456" s="57"/>
    </row>
    <row r="457" spans="12:13" ht="12">
      <c r="L457" s="26"/>
      <c r="M457" s="57"/>
    </row>
    <row r="458" spans="12:13" ht="12">
      <c r="L458" s="26"/>
      <c r="M458" s="57"/>
    </row>
    <row r="459" spans="12:13" ht="12">
      <c r="L459" s="26"/>
      <c r="M459" s="57"/>
    </row>
    <row r="460" spans="12:13" ht="12">
      <c r="L460" s="26"/>
      <c r="M460" s="57"/>
    </row>
    <row r="461" spans="12:13" ht="12">
      <c r="L461" s="26"/>
      <c r="M461" s="57"/>
    </row>
    <row r="462" spans="12:13" ht="12">
      <c r="L462" s="26"/>
      <c r="M462" s="57"/>
    </row>
    <row r="463" spans="12:13" ht="12">
      <c r="L463" s="26"/>
      <c r="M463" s="57"/>
    </row>
    <row r="464" spans="12:13" ht="12">
      <c r="L464" s="26"/>
      <c r="M464" s="57"/>
    </row>
    <row r="465" spans="12:13" ht="12">
      <c r="L465" s="26"/>
      <c r="M465" s="57"/>
    </row>
    <row r="466" spans="12:13" ht="12">
      <c r="L466" s="26"/>
      <c r="M466" s="57"/>
    </row>
    <row r="467" spans="12:13" ht="12">
      <c r="L467" s="26"/>
      <c r="M467" s="57"/>
    </row>
    <row r="468" spans="12:13" ht="12">
      <c r="L468" s="26"/>
      <c r="M468" s="57"/>
    </row>
    <row r="469" spans="12:13" ht="12">
      <c r="L469" s="26"/>
      <c r="M469" s="57"/>
    </row>
    <row r="470" spans="12:13" ht="12">
      <c r="L470" s="26"/>
      <c r="M470" s="57"/>
    </row>
    <row r="471" spans="12:13" ht="12">
      <c r="L471" s="26"/>
      <c r="M471" s="57"/>
    </row>
    <row r="472" spans="12:13" ht="12">
      <c r="L472" s="26"/>
      <c r="M472" s="57"/>
    </row>
    <row r="473" spans="12:13" ht="12">
      <c r="L473" s="26"/>
      <c r="M473" s="57"/>
    </row>
    <row r="474" spans="12:13" ht="12">
      <c r="L474" s="26"/>
      <c r="M474" s="57"/>
    </row>
    <row r="475" spans="12:13" ht="12">
      <c r="L475" s="26"/>
      <c r="M475" s="57"/>
    </row>
    <row r="476" spans="12:13" ht="12">
      <c r="L476" s="26"/>
      <c r="M476" s="57"/>
    </row>
    <row r="477" spans="12:13" ht="12">
      <c r="L477" s="26"/>
      <c r="M477" s="57"/>
    </row>
    <row r="478" spans="12:13" ht="12">
      <c r="L478" s="26"/>
      <c r="M478" s="57"/>
    </row>
    <row r="479" spans="12:13" ht="12">
      <c r="L479" s="26"/>
      <c r="M479" s="57"/>
    </row>
    <row r="480" spans="12:13" ht="12">
      <c r="L480" s="26"/>
      <c r="M480" s="57"/>
    </row>
    <row r="481" spans="12:13" ht="12">
      <c r="L481" s="26"/>
      <c r="M481" s="57"/>
    </row>
    <row r="482" spans="12:13" ht="12">
      <c r="L482" s="26"/>
      <c r="M482" s="57"/>
    </row>
    <row r="483" spans="12:13" ht="12">
      <c r="L483" s="26"/>
      <c r="M483" s="57"/>
    </row>
    <row r="484" spans="12:13" ht="12">
      <c r="L484" s="26"/>
      <c r="M484" s="57"/>
    </row>
    <row r="485" spans="12:13" ht="12">
      <c r="L485" s="26"/>
      <c r="M485" s="57"/>
    </row>
    <row r="486" spans="12:13" ht="12">
      <c r="L486" s="26"/>
      <c r="M486" s="57"/>
    </row>
    <row r="487" spans="12:13" ht="12">
      <c r="L487" s="26"/>
      <c r="M487" s="57"/>
    </row>
    <row r="488" spans="12:13" ht="12">
      <c r="L488" s="26"/>
      <c r="M488" s="57"/>
    </row>
    <row r="489" spans="12:13" ht="12">
      <c r="L489" s="26"/>
      <c r="M489" s="57"/>
    </row>
    <row r="490" spans="12:13" ht="12">
      <c r="L490" s="26"/>
      <c r="M490" s="57"/>
    </row>
    <row r="491" spans="12:13" ht="12">
      <c r="L491" s="26"/>
      <c r="M491" s="57"/>
    </row>
    <row r="492" spans="12:13" ht="12">
      <c r="L492" s="26"/>
      <c r="M492" s="57"/>
    </row>
    <row r="493" spans="12:13" ht="12">
      <c r="L493" s="26"/>
      <c r="M493" s="57"/>
    </row>
    <row r="494" spans="12:13" ht="12">
      <c r="L494" s="26"/>
      <c r="M494" s="57"/>
    </row>
    <row r="495" spans="12:13" ht="12">
      <c r="L495" s="26"/>
      <c r="M495" s="57"/>
    </row>
    <row r="496" spans="12:13" ht="12">
      <c r="L496" s="26"/>
      <c r="M496" s="57"/>
    </row>
    <row r="497" spans="12:13" ht="12">
      <c r="L497" s="26"/>
      <c r="M497" s="57"/>
    </row>
    <row r="498" spans="12:13" ht="12">
      <c r="L498" s="26"/>
      <c r="M498" s="57"/>
    </row>
    <row r="499" spans="12:13" ht="12">
      <c r="L499" s="26"/>
      <c r="M499" s="57"/>
    </row>
    <row r="500" spans="12:13" ht="12">
      <c r="L500" s="26"/>
      <c r="M500" s="57"/>
    </row>
    <row r="501" spans="12:13" ht="12">
      <c r="L501" s="26"/>
      <c r="M501" s="57"/>
    </row>
    <row r="502" spans="12:13" ht="12">
      <c r="L502" s="26"/>
      <c r="M502" s="57"/>
    </row>
    <row r="503" spans="12:13" ht="12">
      <c r="L503" s="26"/>
      <c r="M503" s="57"/>
    </row>
    <row r="504" spans="12:13" ht="12">
      <c r="L504" s="26"/>
      <c r="M504" s="57"/>
    </row>
    <row r="505" spans="12:13" ht="12">
      <c r="L505" s="26"/>
      <c r="M505" s="57"/>
    </row>
    <row r="506" spans="12:13" ht="12">
      <c r="L506" s="26"/>
      <c r="M506" s="57"/>
    </row>
    <row r="507" spans="12:13" ht="12">
      <c r="L507" s="26"/>
      <c r="M507" s="57"/>
    </row>
    <row r="508" spans="12:13" ht="12">
      <c r="L508" s="26"/>
      <c r="M508" s="57"/>
    </row>
    <row r="509" spans="12:13" ht="12">
      <c r="L509" s="26"/>
      <c r="M509" s="57"/>
    </row>
    <row r="510" spans="12:13" ht="12">
      <c r="L510" s="26"/>
      <c r="M510" s="57"/>
    </row>
    <row r="511" spans="12:13" ht="12">
      <c r="L511" s="26"/>
      <c r="M511" s="57"/>
    </row>
    <row r="512" spans="12:13" ht="12">
      <c r="L512" s="26"/>
      <c r="M512" s="57"/>
    </row>
    <row r="513" spans="12:13" ht="12">
      <c r="L513" s="26"/>
      <c r="M513" s="57"/>
    </row>
    <row r="514" spans="12:13" ht="12">
      <c r="L514" s="26"/>
      <c r="M514" s="57"/>
    </row>
    <row r="515" spans="12:13" ht="12">
      <c r="L515" s="26"/>
      <c r="M515" s="57"/>
    </row>
    <row r="516" spans="12:13" ht="12">
      <c r="L516" s="26"/>
      <c r="M516" s="57"/>
    </row>
    <row r="517" spans="12:13" ht="12">
      <c r="L517" s="26"/>
      <c r="M517" s="57"/>
    </row>
    <row r="518" spans="12:13" ht="12">
      <c r="L518" s="26"/>
      <c r="M518" s="57"/>
    </row>
    <row r="519" spans="12:13" ht="12">
      <c r="L519" s="26"/>
      <c r="M519" s="57"/>
    </row>
    <row r="520" spans="12:13" ht="12">
      <c r="L520" s="26"/>
      <c r="M520" s="57"/>
    </row>
    <row r="521" spans="12:13" ht="12">
      <c r="L521" s="26"/>
      <c r="M521" s="57"/>
    </row>
    <row r="522" spans="12:13" ht="12">
      <c r="L522" s="26"/>
      <c r="M522" s="57"/>
    </row>
    <row r="523" spans="12:13" ht="12">
      <c r="L523" s="26"/>
      <c r="M523" s="57"/>
    </row>
    <row r="524" spans="12:13" ht="12">
      <c r="L524" s="26"/>
      <c r="M524" s="57"/>
    </row>
    <row r="525" spans="12:13" ht="12">
      <c r="L525" s="26"/>
      <c r="M525" s="57"/>
    </row>
    <row r="526" spans="12:13" ht="12">
      <c r="L526" s="26"/>
      <c r="M526" s="57"/>
    </row>
    <row r="527" spans="12:13" ht="12">
      <c r="L527" s="26"/>
      <c r="M527" s="57"/>
    </row>
    <row r="528" spans="12:13" ht="12">
      <c r="L528" s="26"/>
      <c r="M528" s="57"/>
    </row>
    <row r="529" spans="12:13" ht="12">
      <c r="L529" s="26"/>
      <c r="M529" s="57"/>
    </row>
    <row r="530" spans="12:13" ht="12">
      <c r="L530" s="26"/>
      <c r="M530" s="57"/>
    </row>
    <row r="531" spans="12:13" ht="12">
      <c r="L531" s="26"/>
      <c r="M531" s="57"/>
    </row>
    <row r="532" spans="12:13" ht="12">
      <c r="L532" s="26"/>
      <c r="M532" s="57"/>
    </row>
    <row r="533" spans="12:13" ht="12">
      <c r="L533" s="26"/>
      <c r="M533" s="57"/>
    </row>
    <row r="534" spans="12:13" ht="12">
      <c r="L534" s="26"/>
      <c r="M534" s="57"/>
    </row>
    <row r="535" spans="12:13" ht="12">
      <c r="L535" s="26"/>
      <c r="M535" s="57"/>
    </row>
    <row r="536" spans="12:13" ht="12">
      <c r="L536" s="26"/>
      <c r="M536" s="57"/>
    </row>
    <row r="537" spans="12:13" ht="12">
      <c r="L537" s="26"/>
      <c r="M537" s="57"/>
    </row>
    <row r="538" spans="12:13" ht="12">
      <c r="L538" s="26"/>
      <c r="M538" s="57"/>
    </row>
    <row r="539" spans="12:13" ht="12">
      <c r="L539" s="26"/>
      <c r="M539" s="57"/>
    </row>
    <row r="540" spans="12:13" ht="12">
      <c r="L540" s="26"/>
      <c r="M540" s="57"/>
    </row>
    <row r="541" spans="12:13" ht="12">
      <c r="L541" s="26"/>
      <c r="M541" s="57"/>
    </row>
    <row r="542" spans="12:13" ht="12">
      <c r="L542" s="26"/>
      <c r="M542" s="57"/>
    </row>
    <row r="543" spans="12:13" ht="12">
      <c r="L543" s="26"/>
      <c r="M543" s="57"/>
    </row>
    <row r="544" spans="12:13" ht="12">
      <c r="L544" s="26"/>
      <c r="M544" s="57"/>
    </row>
    <row r="545" spans="12:13" ht="12">
      <c r="L545" s="26"/>
      <c r="M545" s="57"/>
    </row>
    <row r="546" spans="12:13" ht="12">
      <c r="L546" s="26"/>
      <c r="M546" s="57"/>
    </row>
    <row r="547" spans="12:13" ht="12">
      <c r="L547" s="26"/>
      <c r="M547" s="57"/>
    </row>
    <row r="548" spans="12:13" ht="12">
      <c r="L548" s="26"/>
      <c r="M548" s="57"/>
    </row>
    <row r="549" spans="12:13" ht="12">
      <c r="L549" s="26"/>
      <c r="M549" s="57"/>
    </row>
    <row r="550" spans="12:13" ht="12">
      <c r="L550" s="26"/>
      <c r="M550" s="57"/>
    </row>
    <row r="551" spans="12:13" ht="12">
      <c r="L551" s="26"/>
      <c r="M551" s="57"/>
    </row>
    <row r="552" spans="12:13" ht="12">
      <c r="L552" s="26"/>
      <c r="M552" s="57"/>
    </row>
    <row r="553" spans="12:13" ht="12">
      <c r="L553" s="26"/>
      <c r="M553" s="57"/>
    </row>
    <row r="554" spans="12:13" ht="12">
      <c r="L554" s="26"/>
      <c r="M554" s="57"/>
    </row>
    <row r="555" spans="12:13" ht="12">
      <c r="L555" s="26"/>
      <c r="M555" s="57"/>
    </row>
    <row r="556" spans="12:13" ht="12">
      <c r="L556" s="26"/>
      <c r="M556" s="57"/>
    </row>
    <row r="557" spans="12:13" ht="12">
      <c r="L557" s="26"/>
      <c r="M557" s="57"/>
    </row>
    <row r="558" spans="12:13" ht="12">
      <c r="L558" s="26"/>
      <c r="M558" s="57"/>
    </row>
    <row r="559" spans="12:13" ht="12">
      <c r="L559" s="26"/>
      <c r="M559" s="57"/>
    </row>
    <row r="560" spans="12:13" ht="12">
      <c r="L560" s="26"/>
      <c r="M560" s="57"/>
    </row>
    <row r="561" spans="12:13" ht="12">
      <c r="L561" s="26"/>
      <c r="M561" s="57"/>
    </row>
    <row r="562" spans="12:13" ht="12">
      <c r="L562" s="26"/>
      <c r="M562" s="57"/>
    </row>
    <row r="563" spans="12:13" ht="12">
      <c r="L563" s="26"/>
      <c r="M563" s="57"/>
    </row>
    <row r="564" spans="12:13" ht="12">
      <c r="L564" s="26"/>
      <c r="M564" s="57"/>
    </row>
    <row r="565" spans="12:13" ht="12">
      <c r="L565" s="26"/>
      <c r="M565" s="57"/>
    </row>
    <row r="566" spans="12:13" ht="12">
      <c r="L566" s="26"/>
      <c r="M566" s="57"/>
    </row>
    <row r="567" spans="12:13" ht="12">
      <c r="L567" s="26"/>
      <c r="M567" s="57"/>
    </row>
    <row r="568" spans="12:13" ht="12">
      <c r="L568" s="26"/>
      <c r="M568" s="57"/>
    </row>
    <row r="569" spans="12:13" ht="12">
      <c r="L569" s="26"/>
      <c r="M569" s="57"/>
    </row>
    <row r="570" spans="12:13" ht="12">
      <c r="L570" s="26"/>
      <c r="M570" s="57"/>
    </row>
    <row r="571" spans="12:13" ht="12">
      <c r="L571" s="26"/>
      <c r="M571" s="57"/>
    </row>
    <row r="572" spans="12:13" ht="12">
      <c r="L572" s="26"/>
      <c r="M572" s="57"/>
    </row>
    <row r="573" spans="12:13" ht="12">
      <c r="L573" s="26"/>
      <c r="M573" s="57"/>
    </row>
    <row r="574" spans="12:13" ht="12">
      <c r="L574" s="26"/>
      <c r="M574" s="57"/>
    </row>
    <row r="575" spans="12:13" ht="12">
      <c r="L575" s="26"/>
      <c r="M575" s="57"/>
    </row>
    <row r="576" spans="12:13" ht="12">
      <c r="L576" s="26"/>
      <c r="M576" s="57"/>
    </row>
    <row r="577" spans="12:13" ht="12">
      <c r="L577" s="26"/>
      <c r="M577" s="57"/>
    </row>
    <row r="578" spans="12:13" ht="12">
      <c r="L578" s="26"/>
      <c r="M578" s="57"/>
    </row>
    <row r="579" spans="12:13" ht="12">
      <c r="L579" s="26"/>
      <c r="M579" s="57"/>
    </row>
    <row r="580" spans="12:13" ht="12">
      <c r="L580" s="26"/>
      <c r="M580" s="57"/>
    </row>
    <row r="581" spans="12:13" ht="12">
      <c r="L581" s="26"/>
      <c r="M581" s="57"/>
    </row>
    <row r="582" spans="12:13" ht="12">
      <c r="L582" s="26"/>
      <c r="M582" s="57"/>
    </row>
    <row r="583" spans="12:13" ht="12">
      <c r="L583" s="26"/>
      <c r="M583" s="57"/>
    </row>
    <row r="584" spans="12:13" ht="12">
      <c r="L584" s="26"/>
      <c r="M584" s="57"/>
    </row>
    <row r="585" spans="12:13" ht="12">
      <c r="L585" s="26"/>
      <c r="M585" s="57"/>
    </row>
    <row r="586" spans="12:13" ht="12">
      <c r="L586" s="26"/>
      <c r="M586" s="57"/>
    </row>
    <row r="587" spans="12:13" ht="12">
      <c r="L587" s="26"/>
      <c r="M587" s="57"/>
    </row>
    <row r="588" spans="12:13" ht="12">
      <c r="L588" s="26"/>
      <c r="M588" s="57"/>
    </row>
    <row r="589" spans="12:13" ht="12">
      <c r="L589" s="26"/>
      <c r="M589" s="57"/>
    </row>
    <row r="590" spans="12:13" ht="12">
      <c r="L590" s="26"/>
      <c r="M590" s="57"/>
    </row>
    <row r="591" spans="12:13" ht="12">
      <c r="L591" s="26"/>
      <c r="M591" s="57"/>
    </row>
    <row r="592" spans="12:13" ht="12">
      <c r="L592" s="26"/>
      <c r="M592" s="57"/>
    </row>
    <row r="593" spans="12:13" ht="12">
      <c r="L593" s="26"/>
      <c r="M593" s="57"/>
    </row>
    <row r="594" spans="12:13" ht="12">
      <c r="L594" s="26"/>
      <c r="M594" s="57"/>
    </row>
    <row r="595" spans="12:13" ht="12">
      <c r="L595" s="26"/>
      <c r="M595" s="57"/>
    </row>
    <row r="596" spans="12:13" ht="12">
      <c r="L596" s="26"/>
      <c r="M596" s="57"/>
    </row>
    <row r="597" spans="12:13" ht="12">
      <c r="L597" s="26"/>
      <c r="M597" s="57"/>
    </row>
    <row r="598" spans="12:13" ht="12">
      <c r="L598" s="26"/>
      <c r="M598" s="57"/>
    </row>
    <row r="599" spans="12:13" ht="12">
      <c r="L599" s="26"/>
      <c r="M599" s="57"/>
    </row>
    <row r="600" spans="12:13" ht="12">
      <c r="L600" s="26"/>
      <c r="M600" s="57"/>
    </row>
    <row r="601" spans="12:13" ht="12">
      <c r="L601" s="26"/>
      <c r="M601" s="57"/>
    </row>
    <row r="602" spans="12:13" ht="12">
      <c r="L602" s="26"/>
      <c r="M602" s="57"/>
    </row>
    <row r="603" spans="12:13" ht="12">
      <c r="L603" s="26"/>
      <c r="M603" s="57"/>
    </row>
    <row r="604" spans="12:13" ht="12">
      <c r="L604" s="26"/>
      <c r="M604" s="57"/>
    </row>
    <row r="605" spans="12:13" ht="12">
      <c r="L605" s="26"/>
      <c r="M605" s="57"/>
    </row>
    <row r="606" spans="12:13" ht="12">
      <c r="L606" s="26"/>
      <c r="M606" s="57"/>
    </row>
    <row r="607" spans="12:13" ht="12">
      <c r="L607" s="26"/>
      <c r="M607" s="57"/>
    </row>
    <row r="608" spans="12:13" ht="12">
      <c r="L608" s="26"/>
      <c r="M608" s="57"/>
    </row>
    <row r="609" spans="12:13" ht="12">
      <c r="L609" s="26"/>
      <c r="M609" s="57"/>
    </row>
    <row r="610" spans="12:13" ht="12">
      <c r="L610" s="26"/>
      <c r="M610" s="57"/>
    </row>
    <row r="611" spans="12:13" ht="12">
      <c r="L611" s="26"/>
      <c r="M611" s="57"/>
    </row>
    <row r="612" spans="12:13" ht="12">
      <c r="L612" s="26"/>
      <c r="M612" s="57"/>
    </row>
    <row r="613" spans="12:13" ht="12">
      <c r="L613" s="26"/>
      <c r="M613" s="57"/>
    </row>
    <row r="614" spans="12:13" ht="12">
      <c r="L614" s="26"/>
      <c r="M614" s="57"/>
    </row>
    <row r="615" spans="12:13" ht="12">
      <c r="L615" s="26"/>
      <c r="M615" s="57"/>
    </row>
    <row r="616" spans="12:13" ht="12">
      <c r="L616" s="26"/>
      <c r="M616" s="57"/>
    </row>
    <row r="617" spans="12:13" ht="12">
      <c r="L617" s="26"/>
      <c r="M617" s="57"/>
    </row>
    <row r="618" spans="12:13" ht="12">
      <c r="L618" s="26"/>
      <c r="M618" s="57"/>
    </row>
    <row r="619" spans="12:13" ht="12">
      <c r="L619" s="26"/>
      <c r="M619" s="57"/>
    </row>
    <row r="620" spans="12:13" ht="12">
      <c r="L620" s="26"/>
      <c r="M620" s="57"/>
    </row>
    <row r="621" spans="12:13" ht="12">
      <c r="L621" s="26"/>
      <c r="M621" s="57"/>
    </row>
    <row r="622" spans="12:13" ht="12">
      <c r="L622" s="26"/>
      <c r="M622" s="57"/>
    </row>
    <row r="623" spans="12:13" ht="12">
      <c r="L623" s="26"/>
      <c r="M623" s="57"/>
    </row>
    <row r="624" spans="12:13" ht="12">
      <c r="L624" s="26"/>
      <c r="M624" s="57"/>
    </row>
    <row r="625" spans="12:13" ht="12">
      <c r="L625" s="26"/>
      <c r="M625" s="57"/>
    </row>
    <row r="626" spans="12:13" ht="12">
      <c r="L626" s="26"/>
      <c r="M626" s="57"/>
    </row>
    <row r="627" spans="12:13" ht="12">
      <c r="L627" s="26"/>
      <c r="M627" s="57"/>
    </row>
    <row r="628" spans="12:13" ht="12">
      <c r="L628" s="26"/>
      <c r="M628" s="57"/>
    </row>
    <row r="629" spans="12:13" ht="12">
      <c r="L629" s="26"/>
      <c r="M629" s="57"/>
    </row>
    <row r="630" spans="12:13" ht="12">
      <c r="L630" s="26"/>
      <c r="M630" s="57"/>
    </row>
    <row r="631" spans="12:13" ht="12">
      <c r="L631" s="26"/>
      <c r="M631" s="57"/>
    </row>
    <row r="632" spans="12:13" ht="12">
      <c r="L632" s="26"/>
      <c r="M632" s="57"/>
    </row>
    <row r="633" spans="12:13" ht="12">
      <c r="L633" s="26"/>
      <c r="M633" s="57"/>
    </row>
    <row r="634" spans="12:13" ht="12">
      <c r="L634" s="26"/>
      <c r="M634" s="57"/>
    </row>
    <row r="635" spans="12:13" ht="12">
      <c r="L635" s="26"/>
      <c r="M635" s="57"/>
    </row>
    <row r="636" spans="12:13" ht="12">
      <c r="L636" s="26"/>
      <c r="M636" s="57"/>
    </row>
    <row r="637" spans="12:13" ht="12">
      <c r="L637" s="26"/>
      <c r="M637" s="57"/>
    </row>
    <row r="638" spans="12:13" ht="12">
      <c r="L638" s="26"/>
      <c r="M638" s="57"/>
    </row>
    <row r="639" spans="12:13" ht="12">
      <c r="L639" s="26"/>
      <c r="M639" s="57"/>
    </row>
    <row r="640" spans="12:13" ht="12">
      <c r="L640" s="26"/>
      <c r="M640" s="57"/>
    </row>
    <row r="641" spans="12:13" ht="12">
      <c r="L641" s="26"/>
      <c r="M641" s="57"/>
    </row>
    <row r="642" spans="12:13" ht="12">
      <c r="L642" s="26"/>
      <c r="M642" s="57"/>
    </row>
    <row r="643" spans="12:13" ht="12">
      <c r="L643" s="26"/>
      <c r="M643" s="57"/>
    </row>
    <row r="644" spans="12:13" ht="12">
      <c r="L644" s="26"/>
      <c r="M644" s="57"/>
    </row>
    <row r="645" spans="12:13" ht="12">
      <c r="L645" s="26"/>
      <c r="M645" s="57"/>
    </row>
    <row r="646" spans="12:13" ht="12">
      <c r="L646" s="26"/>
      <c r="M646" s="57"/>
    </row>
    <row r="647" spans="12:13" ht="12">
      <c r="L647" s="26"/>
      <c r="M647" s="57"/>
    </row>
    <row r="648" spans="12:13" ht="12">
      <c r="L648" s="26"/>
      <c r="M648" s="57"/>
    </row>
    <row r="649" spans="12:13" ht="12">
      <c r="L649" s="26"/>
      <c r="M649" s="57"/>
    </row>
    <row r="650" spans="12:13" ht="12">
      <c r="L650" s="26"/>
      <c r="M650" s="57"/>
    </row>
    <row r="651" spans="12:13" ht="12">
      <c r="L651" s="26"/>
      <c r="M651" s="57"/>
    </row>
  </sheetData>
  <sheetProtection/>
  <conditionalFormatting sqref="D2">
    <cfRule type="cellIs" priority="1" dxfId="0" operator="equal" stopIfTrue="1">
      <formula>$D$2</formula>
    </cfRule>
  </conditionalFormatting>
  <dataValidations count="1">
    <dataValidation allowBlank="1" showInputMessage="1" sqref="D2"/>
  </dataValidations>
  <printOptions/>
  <pageMargins left="0.25" right="0.25" top="0.92" bottom="0.5" header="0.5" footer="0.5"/>
  <pageSetup horizontalDpi="300" verticalDpi="300" orientation="landscape" r:id="rId1"/>
  <rowBreaks count="2" manualBreakCount="2">
    <brk id="82" max="12" man="1"/>
    <brk id="106" max="255" man="1"/>
  </rowBreaks>
</worksheet>
</file>

<file path=xl/worksheets/sheet13.xml><?xml version="1.0" encoding="utf-8"?>
<worksheet xmlns="http://schemas.openxmlformats.org/spreadsheetml/2006/main" xmlns:r="http://schemas.openxmlformats.org/officeDocument/2006/relationships">
  <dimension ref="A1:M78"/>
  <sheetViews>
    <sheetView zoomScalePageLayoutView="0" workbookViewId="0" topLeftCell="A1">
      <selection activeCell="A1" sqref="A1:IV16384"/>
    </sheetView>
  </sheetViews>
  <sheetFormatPr defaultColWidth="9.140625" defaultRowHeight="12.75"/>
  <cols>
    <col min="1" max="1" width="48.57421875" style="1" customWidth="1"/>
    <col min="2" max="2" width="17.28125" style="1" customWidth="1"/>
    <col min="3" max="5" width="14.421875" style="1" customWidth="1"/>
    <col min="6" max="6" width="14.57421875" style="1" customWidth="1"/>
    <col min="7" max="7" width="14.140625" style="1" customWidth="1"/>
    <col min="8" max="8" width="13.140625" style="1" customWidth="1"/>
    <col min="9" max="16384" width="9.140625" style="1" customWidth="1"/>
  </cols>
  <sheetData>
    <row r="1" ht="12.75">
      <c r="A1" s="250" t="s">
        <v>94</v>
      </c>
    </row>
    <row r="2" ht="13.5" thickBot="1">
      <c r="B2" s="435" t="s">
        <v>101</v>
      </c>
    </row>
    <row r="3" spans="1:4" s="693" customFormat="1" ht="41.25" customHeight="1">
      <c r="A3" s="464" t="s">
        <v>44</v>
      </c>
      <c r="B3" s="465" t="s">
        <v>102</v>
      </c>
      <c r="C3" s="465" t="s">
        <v>87</v>
      </c>
      <c r="D3" s="466" t="s">
        <v>668</v>
      </c>
    </row>
    <row r="4" spans="1:4" ht="12.75">
      <c r="A4" s="694" t="s">
        <v>25</v>
      </c>
      <c r="B4" s="478">
        <v>8736862</v>
      </c>
      <c r="C4" s="484">
        <f>'Ave weights'!Q169</f>
        <v>0.042659447697</v>
      </c>
      <c r="D4" s="485">
        <f aca="true" t="shared" si="0" ref="D4:D18">B4*2204.62262</f>
        <v>19261483593.01844</v>
      </c>
    </row>
    <row r="5" spans="1:4" ht="12.75">
      <c r="A5" s="215" t="s">
        <v>26</v>
      </c>
      <c r="B5" s="39">
        <v>1864858</v>
      </c>
      <c r="C5" s="487">
        <f>'Ave weights'!Q170</f>
        <v>0.52359787225</v>
      </c>
      <c r="D5" s="243">
        <f t="shared" si="0"/>
        <v>4111308129.88796</v>
      </c>
    </row>
    <row r="6" spans="1:4" ht="12.75">
      <c r="A6" s="215" t="s">
        <v>27</v>
      </c>
      <c r="B6" s="39">
        <v>1781553</v>
      </c>
      <c r="C6" s="487">
        <f>'Ave weights'!Q171</f>
        <v>0.65448230675</v>
      </c>
      <c r="D6" s="243">
        <f t="shared" si="0"/>
        <v>3927652042.52886</v>
      </c>
    </row>
    <row r="7" spans="1:4" ht="12.75">
      <c r="A7" s="215" t="s">
        <v>28</v>
      </c>
      <c r="B7" s="39">
        <v>1778803</v>
      </c>
      <c r="C7" s="487">
        <f>'Ave weights'!Q172</f>
        <v>2.26635205336</v>
      </c>
      <c r="D7" s="243">
        <f t="shared" si="0"/>
        <v>3921589330.32386</v>
      </c>
    </row>
    <row r="8" spans="1:4" ht="12.75">
      <c r="A8" s="215" t="s">
        <v>29</v>
      </c>
      <c r="B8" s="39">
        <v>1607856</v>
      </c>
      <c r="C8" s="487">
        <f>'Ave weights'!Q173</f>
        <v>0.04629707502</v>
      </c>
      <c r="D8" s="243">
        <f t="shared" si="0"/>
        <v>3544715707.30272</v>
      </c>
    </row>
    <row r="9" spans="1:4" ht="12.75">
      <c r="A9" s="215" t="s">
        <v>30</v>
      </c>
      <c r="B9" s="39">
        <v>1049680</v>
      </c>
      <c r="C9" s="487">
        <f>'Ave weights'!Q174</f>
        <v>0.21605301676</v>
      </c>
      <c r="D9" s="243">
        <f t="shared" si="0"/>
        <v>2314148271.7616</v>
      </c>
    </row>
    <row r="10" spans="1:4" ht="12.75">
      <c r="A10" s="215" t="s">
        <v>31</v>
      </c>
      <c r="B10" s="39">
        <v>1034615</v>
      </c>
      <c r="C10" s="487">
        <f>'Ave weights'!Q175</f>
        <v>0.0611559826588</v>
      </c>
      <c r="D10" s="243">
        <f t="shared" si="0"/>
        <v>2280935631.9913</v>
      </c>
    </row>
    <row r="11" spans="1:4" ht="12.75">
      <c r="A11" s="215" t="s">
        <v>32</v>
      </c>
      <c r="B11" s="39">
        <v>652621</v>
      </c>
      <c r="C11" s="487">
        <f>'Ave weights'!Q176</f>
        <v>0.036596735492</v>
      </c>
      <c r="D11" s="243">
        <f t="shared" si="0"/>
        <v>1438783018.88702</v>
      </c>
    </row>
    <row r="12" spans="1:4" ht="12.75">
      <c r="A12" s="215" t="s">
        <v>33</v>
      </c>
      <c r="B12" s="39">
        <v>530823</v>
      </c>
      <c r="C12" s="487">
        <f>'Ave weights'!Q177</f>
        <v>0.022046226199999998</v>
      </c>
      <c r="D12" s="243">
        <f t="shared" si="0"/>
        <v>1170264393.0162601</v>
      </c>
    </row>
    <row r="13" spans="1:4" ht="12.75">
      <c r="A13" s="215" t="s">
        <v>40</v>
      </c>
      <c r="B13" s="39">
        <v>516144</v>
      </c>
      <c r="C13" s="487">
        <f>'Ave weights'!Q178</f>
        <v>0.23152450638995292</v>
      </c>
      <c r="D13" s="243">
        <f t="shared" si="0"/>
        <v>1137902737.57728</v>
      </c>
    </row>
    <row r="14" spans="1:4" ht="12.75">
      <c r="A14" s="215" t="s">
        <v>34</v>
      </c>
      <c r="B14" s="39">
        <v>513153</v>
      </c>
      <c r="C14" s="487">
        <f>'Ave weights'!Q179</f>
        <v>0.3707029744827821</v>
      </c>
      <c r="D14" s="243">
        <f t="shared" si="0"/>
        <v>1131308711.3208601</v>
      </c>
    </row>
    <row r="15" spans="1:4" ht="12.75">
      <c r="A15" s="215" t="s">
        <v>35</v>
      </c>
      <c r="B15" s="39">
        <v>427893</v>
      </c>
      <c r="C15" s="487">
        <f>'Ave weights'!Q180</f>
        <v>0.067130758779</v>
      </c>
      <c r="D15" s="243">
        <f t="shared" si="0"/>
        <v>943342586.73966</v>
      </c>
    </row>
    <row r="16" spans="1:4" ht="12.75">
      <c r="A16" s="215" t="s">
        <v>36</v>
      </c>
      <c r="B16" s="39">
        <v>211127</v>
      </c>
      <c r="C16" s="487">
        <f>'Ave weights'!Q181</f>
        <v>0.5773905909343334</v>
      </c>
      <c r="D16" s="243">
        <f t="shared" si="0"/>
        <v>465455359.89274</v>
      </c>
    </row>
    <row r="17" spans="1:4" ht="12.75">
      <c r="A17" s="215" t="s">
        <v>37</v>
      </c>
      <c r="B17" s="39">
        <v>70670</v>
      </c>
      <c r="C17" s="487">
        <f>'Ave weights'!Q182</f>
        <v>0.05291094288</v>
      </c>
      <c r="D17" s="243">
        <f t="shared" si="0"/>
        <v>155800680.5554</v>
      </c>
    </row>
    <row r="18" spans="1:4" ht="12.75">
      <c r="A18" s="695" t="s">
        <v>38</v>
      </c>
      <c r="B18" s="461">
        <v>10247</v>
      </c>
      <c r="C18" s="696">
        <f>'Ave weights'!Q183</f>
        <v>0.594035564959</v>
      </c>
      <c r="D18" s="459">
        <f t="shared" si="0"/>
        <v>22590767.98714</v>
      </c>
    </row>
    <row r="19" spans="1:4" s="436" customFormat="1" ht="13.5" thickBot="1">
      <c r="A19" s="457" t="s">
        <v>39</v>
      </c>
      <c r="B19" s="460">
        <v>20786905</v>
      </c>
      <c r="C19" s="460"/>
      <c r="D19" s="458">
        <f>SUM(D4:D18)</f>
        <v>45827280962.791084</v>
      </c>
    </row>
    <row r="20" spans="2:5" s="436" customFormat="1" ht="13.5" thickBot="1">
      <c r="B20" s="437"/>
      <c r="C20" s="437"/>
      <c r="D20" s="437"/>
      <c r="E20" s="1"/>
    </row>
    <row r="21" spans="1:4" s="436" customFormat="1" ht="13.5" thickBot="1">
      <c r="A21" s="436" t="s">
        <v>83</v>
      </c>
      <c r="B21" s="462">
        <f>B19/D19/0.00220462262</f>
        <v>0.20574603846729037</v>
      </c>
      <c r="C21" s="463" t="s">
        <v>88</v>
      </c>
      <c r="D21" s="1" t="s">
        <v>90</v>
      </c>
    </row>
    <row r="22" spans="3:4" ht="12.75">
      <c r="C22" s="435"/>
      <c r="D22" s="435"/>
    </row>
    <row r="23" spans="3:4" ht="12.75">
      <c r="C23" s="435"/>
      <c r="D23" s="435"/>
    </row>
    <row r="24" ht="13.5" thickBot="1">
      <c r="C24" s="436"/>
    </row>
    <row r="25" spans="1:8" ht="13.5">
      <c r="A25" s="479" t="s">
        <v>45</v>
      </c>
      <c r="B25" s="480"/>
      <c r="C25" s="480">
        <v>2011</v>
      </c>
      <c r="D25" s="480">
        <v>2010</v>
      </c>
      <c r="E25" s="480">
        <v>2009</v>
      </c>
      <c r="F25" s="480">
        <v>2008</v>
      </c>
      <c r="G25" s="480">
        <v>2007</v>
      </c>
      <c r="H25" s="481">
        <v>2006</v>
      </c>
    </row>
    <row r="26" spans="1:9" ht="12.75">
      <c r="A26" s="694" t="s">
        <v>46</v>
      </c>
      <c r="B26" s="697">
        <v>77.388</v>
      </c>
      <c r="C26" s="697"/>
      <c r="D26" s="697"/>
      <c r="E26" s="697"/>
      <c r="F26" s="697"/>
      <c r="G26" s="697"/>
      <c r="H26" s="698"/>
      <c r="I26" s="1" t="s">
        <v>50</v>
      </c>
    </row>
    <row r="27" spans="1:9" ht="12.75">
      <c r="A27" s="215" t="s">
        <v>52</v>
      </c>
      <c r="B27" s="38">
        <v>22.234</v>
      </c>
      <c r="C27" s="38"/>
      <c r="D27" s="38"/>
      <c r="E27" s="38"/>
      <c r="F27" s="38"/>
      <c r="G27" s="38"/>
      <c r="H27" s="259"/>
      <c r="I27" s="1" t="s">
        <v>48</v>
      </c>
    </row>
    <row r="28" spans="1:8" ht="12.75">
      <c r="A28" s="215" t="s">
        <v>92</v>
      </c>
      <c r="B28" s="488">
        <f>B27/B26</f>
        <v>0.2873055254044555</v>
      </c>
      <c r="C28" s="488"/>
      <c r="D28" s="488"/>
      <c r="E28" s="38"/>
      <c r="F28" s="38"/>
      <c r="G28" s="487"/>
      <c r="H28" s="699"/>
    </row>
    <row r="29" spans="1:9" ht="12.75">
      <c r="A29" s="215" t="s">
        <v>63</v>
      </c>
      <c r="B29" s="700">
        <v>0.225</v>
      </c>
      <c r="C29" s="700"/>
      <c r="D29" s="700"/>
      <c r="E29" s="38"/>
      <c r="F29" s="38"/>
      <c r="G29" s="38"/>
      <c r="H29" s="259"/>
      <c r="I29" s="1" t="s">
        <v>108</v>
      </c>
    </row>
    <row r="30" spans="1:9" ht="12.75">
      <c r="A30" s="215" t="s">
        <v>103</v>
      </c>
      <c r="B30" s="486">
        <v>0.05</v>
      </c>
      <c r="C30" s="486"/>
      <c r="D30" s="486"/>
      <c r="E30" s="38"/>
      <c r="F30" s="38"/>
      <c r="G30" s="38"/>
      <c r="H30" s="259"/>
      <c r="I30" s="1" t="s">
        <v>109</v>
      </c>
    </row>
    <row r="31" spans="1:9" ht="12.75">
      <c r="A31" s="215" t="s">
        <v>91</v>
      </c>
      <c r="B31" s="700">
        <v>0.682</v>
      </c>
      <c r="C31" s="700"/>
      <c r="D31" s="700"/>
      <c r="E31" s="38"/>
      <c r="F31" s="38"/>
      <c r="G31" s="38"/>
      <c r="H31" s="259"/>
      <c r="I31" s="1" t="s">
        <v>41</v>
      </c>
    </row>
    <row r="32" spans="1:9" ht="12.75">
      <c r="A32" s="215" t="s">
        <v>104</v>
      </c>
      <c r="B32" s="700">
        <v>0.885</v>
      </c>
      <c r="C32" s="700"/>
      <c r="D32" s="700"/>
      <c r="E32" s="38"/>
      <c r="F32" s="38"/>
      <c r="G32" s="38"/>
      <c r="H32" s="259"/>
      <c r="I32" s="1" t="s">
        <v>41</v>
      </c>
    </row>
    <row r="33" spans="1:8" ht="12.75">
      <c r="A33" s="215" t="s">
        <v>106</v>
      </c>
      <c r="B33" s="486">
        <f>((B31*B29)+(B30*B32))/SUM(B29:B30)</f>
        <v>0.7189090909090909</v>
      </c>
      <c r="C33" s="486"/>
      <c r="D33" s="486"/>
      <c r="E33" s="38"/>
      <c r="F33" s="38"/>
      <c r="G33" s="38"/>
      <c r="H33" s="259"/>
    </row>
    <row r="34" spans="1:8" ht="12.75">
      <c r="A34" s="215" t="s">
        <v>100</v>
      </c>
      <c r="B34" s="700">
        <f>B28*B33</f>
        <v>0.20654655408167583</v>
      </c>
      <c r="C34" s="700"/>
      <c r="D34" s="700"/>
      <c r="E34" s="38"/>
      <c r="F34" s="38"/>
      <c r="G34" s="700"/>
      <c r="H34" s="701"/>
    </row>
    <row r="35" spans="1:8" ht="12.75">
      <c r="A35" s="215" t="s">
        <v>64</v>
      </c>
      <c r="B35" s="38"/>
      <c r="C35" s="39">
        <f>'Imports-Exports'!AW154-'Imports-Exports'!AW153</f>
        <v>1492956.2187155143</v>
      </c>
      <c r="D35" s="39">
        <f>'Imports-Exports'!AX154-'Imports-Exports'!AX153</f>
        <v>1599730.842394554</v>
      </c>
      <c r="E35" s="39">
        <f>'Imports-Exports'!AY154-'Imports-Exports'!AY153</f>
        <v>1457756.0304659493</v>
      </c>
      <c r="F35" s="39">
        <f>'Imports-Exports'!AZ154-'Imports-Exports'!AZ153</f>
        <v>1462892.7044154825</v>
      </c>
      <c r="G35" s="39">
        <f>'Imports-Exports'!BA154-'Imports-Exports'!BA153</f>
        <v>1436246.7126679935</v>
      </c>
      <c r="H35" s="243">
        <f>'Imports-Exports'!BB154-'Imports-Exports'!BB153</f>
        <v>1465312.3579334212</v>
      </c>
    </row>
    <row r="36" spans="1:8" ht="12.75">
      <c r="A36" s="695" t="s">
        <v>93</v>
      </c>
      <c r="B36" s="702"/>
      <c r="C36" s="461">
        <f aca="true" t="shared" si="1" ref="C36:H36">C35*$B34</f>
        <v>308364.9623704982</v>
      </c>
      <c r="D36" s="461">
        <f t="shared" si="1"/>
        <v>330418.8929547716</v>
      </c>
      <c r="E36" s="461">
        <f t="shared" si="1"/>
        <v>301094.48478452425</v>
      </c>
      <c r="F36" s="461">
        <f t="shared" si="1"/>
        <v>302155.44708824146</v>
      </c>
      <c r="G36" s="461">
        <f t="shared" si="1"/>
        <v>296651.80931270885</v>
      </c>
      <c r="H36" s="459">
        <f t="shared" si="1"/>
        <v>302655.2181844433</v>
      </c>
    </row>
    <row r="37" spans="1:9" ht="13.5" thickBot="1">
      <c r="A37" s="457" t="s">
        <v>82</v>
      </c>
      <c r="B37" s="483"/>
      <c r="C37" s="469">
        <f aca="true" t="shared" si="2" ref="C37:H37">C36*2204.62262/$B$21</f>
        <v>3304211232.0696216</v>
      </c>
      <c r="D37" s="469">
        <f t="shared" si="2"/>
        <v>3540524867.015884</v>
      </c>
      <c r="E37" s="469">
        <f t="shared" si="2"/>
        <v>3226306162.967698</v>
      </c>
      <c r="F37" s="469">
        <f t="shared" si="2"/>
        <v>3237674651.5722265</v>
      </c>
      <c r="G37" s="469">
        <f t="shared" si="2"/>
        <v>3178701733.1986136</v>
      </c>
      <c r="H37" s="470">
        <f t="shared" si="2"/>
        <v>3243029829.5951757</v>
      </c>
      <c r="I37" s="1" t="s">
        <v>70</v>
      </c>
    </row>
    <row r="40" ht="13.5" thickBot="1"/>
    <row r="41" spans="1:9" ht="13.5">
      <c r="A41" s="479" t="s">
        <v>84</v>
      </c>
      <c r="B41" s="480"/>
      <c r="C41" s="480">
        <v>2011</v>
      </c>
      <c r="D41" s="480">
        <v>2010</v>
      </c>
      <c r="E41" s="480">
        <v>2009</v>
      </c>
      <c r="F41" s="480">
        <v>2008</v>
      </c>
      <c r="G41" s="480">
        <v>2007</v>
      </c>
      <c r="H41" s="481">
        <v>2006</v>
      </c>
      <c r="I41" s="1" t="s">
        <v>51</v>
      </c>
    </row>
    <row r="42" spans="1:8" ht="12.75">
      <c r="A42" s="477" t="s">
        <v>79</v>
      </c>
      <c r="B42" s="484">
        <f>'Ave weights'!Q116</f>
        <v>0.9572726914026904</v>
      </c>
      <c r="C42" s="484"/>
      <c r="D42" s="478"/>
      <c r="E42" s="478"/>
      <c r="F42" s="478"/>
      <c r="G42" s="478"/>
      <c r="H42" s="485"/>
    </row>
    <row r="43" spans="1:9" ht="12.75">
      <c r="A43" s="215" t="s">
        <v>63</v>
      </c>
      <c r="B43" s="700">
        <f>B29</f>
        <v>0.225</v>
      </c>
      <c r="C43" s="700"/>
      <c r="D43" s="38"/>
      <c r="E43" s="38"/>
      <c r="F43" s="38"/>
      <c r="G43" s="38"/>
      <c r="H43" s="259"/>
      <c r="I43" s="1" t="s">
        <v>108</v>
      </c>
    </row>
    <row r="44" spans="1:9" ht="12.75">
      <c r="A44" s="236" t="s">
        <v>61</v>
      </c>
      <c r="B44" s="486">
        <v>0.22</v>
      </c>
      <c r="C44" s="486"/>
      <c r="D44" s="39"/>
      <c r="E44" s="39"/>
      <c r="F44" s="39"/>
      <c r="G44" s="39"/>
      <c r="H44" s="243"/>
      <c r="I44" s="3" t="s">
        <v>80</v>
      </c>
    </row>
    <row r="45" spans="1:8" ht="12.75">
      <c r="A45" s="215"/>
      <c r="B45" s="700"/>
      <c r="C45" s="700"/>
      <c r="D45" s="38"/>
      <c r="E45" s="38"/>
      <c r="F45" s="38"/>
      <c r="G45" s="38"/>
      <c r="H45" s="259"/>
    </row>
    <row r="46" spans="1:12" ht="12.75">
      <c r="A46" s="215" t="s">
        <v>53</v>
      </c>
      <c r="B46" s="38"/>
      <c r="C46" s="41">
        <v>34409</v>
      </c>
      <c r="D46" s="41">
        <v>39123</v>
      </c>
      <c r="E46" s="41">
        <v>34805</v>
      </c>
      <c r="F46" s="41">
        <v>38121</v>
      </c>
      <c r="G46" s="41">
        <v>39628</v>
      </c>
      <c r="H46" s="237">
        <v>58697</v>
      </c>
      <c r="K46" s="475"/>
      <c r="L46" s="475"/>
    </row>
    <row r="47" spans="1:12" ht="12.75">
      <c r="A47" s="215" t="s">
        <v>58</v>
      </c>
      <c r="B47" s="703">
        <f>B21</f>
        <v>0.20574603846729037</v>
      </c>
      <c r="C47" s="703"/>
      <c r="D47" s="41"/>
      <c r="E47" s="41"/>
      <c r="F47" s="41"/>
      <c r="G47" s="41"/>
      <c r="H47" s="237"/>
      <c r="K47" s="475"/>
      <c r="L47" s="475"/>
    </row>
    <row r="48" spans="1:12" ht="12.75">
      <c r="A48" s="236" t="s">
        <v>57</v>
      </c>
      <c r="B48" s="488">
        <f>(B42*B44)+(B47*(1-B44))</f>
        <v>0.3710819021130784</v>
      </c>
      <c r="C48" s="488"/>
      <c r="D48" s="38"/>
      <c r="E48" s="38"/>
      <c r="F48" s="38"/>
      <c r="G48" s="38"/>
      <c r="H48" s="259"/>
      <c r="K48" s="475"/>
      <c r="L48" s="475"/>
    </row>
    <row r="49" spans="1:12" ht="12.75">
      <c r="A49" s="215" t="s">
        <v>55</v>
      </c>
      <c r="B49" s="703">
        <f>B47*B43</f>
        <v>0.04629285865514033</v>
      </c>
      <c r="C49" s="703"/>
      <c r="D49" s="38"/>
      <c r="E49" s="38"/>
      <c r="F49" s="703"/>
      <c r="G49" s="703"/>
      <c r="H49" s="704"/>
      <c r="K49" s="475"/>
      <c r="L49" s="475"/>
    </row>
    <row r="50" spans="1:12" ht="12.75">
      <c r="A50" s="215" t="s">
        <v>56</v>
      </c>
      <c r="B50" s="38"/>
      <c r="C50" s="41">
        <f aca="true" t="shared" si="3" ref="C50:H50">C46*2204.62262/$B49</f>
        <v>1638673046.6721065</v>
      </c>
      <c r="D50" s="41">
        <f t="shared" si="3"/>
        <v>1863169682.4944878</v>
      </c>
      <c r="E50" s="41">
        <f t="shared" si="3"/>
        <v>1657531907.042421</v>
      </c>
      <c r="F50" s="41">
        <f t="shared" si="3"/>
        <v>1815451050.9514189</v>
      </c>
      <c r="G50" s="41">
        <f t="shared" si="3"/>
        <v>1887219491.805116</v>
      </c>
      <c r="H50" s="237">
        <f t="shared" si="3"/>
        <v>2795349816.0514007</v>
      </c>
      <c r="K50" s="475"/>
      <c r="L50" s="475"/>
    </row>
    <row r="51" spans="1:12" ht="12.75">
      <c r="A51" s="215"/>
      <c r="B51" s="41"/>
      <c r="C51" s="41"/>
      <c r="D51" s="41"/>
      <c r="E51" s="41"/>
      <c r="F51" s="41"/>
      <c r="G51" s="41"/>
      <c r="H51" s="237"/>
      <c r="K51" s="475"/>
      <c r="L51" s="475"/>
    </row>
    <row r="52" spans="1:13" ht="12.75">
      <c r="A52" s="236" t="s">
        <v>54</v>
      </c>
      <c r="C52" s="39">
        <v>85837</v>
      </c>
      <c r="D52" s="39">
        <v>76512</v>
      </c>
      <c r="E52" s="39">
        <v>72919</v>
      </c>
      <c r="F52" s="39">
        <v>88778</v>
      </c>
      <c r="G52" s="39">
        <v>104602</v>
      </c>
      <c r="H52" s="237">
        <v>117103</v>
      </c>
      <c r="K52" s="3"/>
      <c r="L52" s="3"/>
      <c r="M52" s="3"/>
    </row>
    <row r="53" spans="1:13" ht="12.75">
      <c r="A53" s="236" t="s">
        <v>60</v>
      </c>
      <c r="B53" s="487">
        <f>'Ave weights'!Q181</f>
        <v>0.5773905909343334</v>
      </c>
      <c r="C53" s="487"/>
      <c r="D53" s="39"/>
      <c r="E53" s="39"/>
      <c r="F53" s="39"/>
      <c r="G53" s="39"/>
      <c r="H53" s="243"/>
      <c r="I53" s="3" t="s">
        <v>59</v>
      </c>
      <c r="K53" s="3"/>
      <c r="L53" s="3"/>
      <c r="M53" s="3"/>
    </row>
    <row r="54" spans="1:13" ht="12.75">
      <c r="A54" s="236" t="s">
        <v>81</v>
      </c>
      <c r="B54" s="488">
        <f>(B42*B44)+(B53*(1-B44))</f>
        <v>0.660964653037372</v>
      </c>
      <c r="C54" s="488"/>
      <c r="D54" s="39"/>
      <c r="E54" s="39"/>
      <c r="F54" s="39"/>
      <c r="G54" s="39"/>
      <c r="H54" s="243"/>
      <c r="J54" s="3"/>
      <c r="K54" s="3"/>
      <c r="L54" s="3"/>
      <c r="M54" s="3"/>
    </row>
    <row r="55" spans="1:13" ht="12.75">
      <c r="A55" s="215" t="s">
        <v>76</v>
      </c>
      <c r="B55" s="703">
        <f>B54*B43</f>
        <v>0.1487170469334087</v>
      </c>
      <c r="C55" s="703"/>
      <c r="D55" s="38"/>
      <c r="E55" s="38"/>
      <c r="F55" s="703"/>
      <c r="G55" s="703"/>
      <c r="H55" s="704"/>
      <c r="J55" s="3"/>
      <c r="K55" s="3"/>
      <c r="L55" s="3"/>
      <c r="M55" s="3"/>
    </row>
    <row r="56" spans="1:13" ht="12.75">
      <c r="A56" s="215" t="s">
        <v>77</v>
      </c>
      <c r="B56" s="38"/>
      <c r="C56" s="41">
        <f aca="true" t="shared" si="4" ref="C56:H56">C52*2204.62262/$B55</f>
        <v>1272471419.619269</v>
      </c>
      <c r="D56" s="41">
        <f t="shared" si="4"/>
        <v>1134235041.507852</v>
      </c>
      <c r="E56" s="41">
        <f t="shared" si="4"/>
        <v>1080971416.1400967</v>
      </c>
      <c r="F56" s="41">
        <f t="shared" si="4"/>
        <v>1316069616.7265801</v>
      </c>
      <c r="G56" s="41">
        <f t="shared" si="4"/>
        <v>1550648967.636506</v>
      </c>
      <c r="H56" s="237">
        <f t="shared" si="4"/>
        <v>1735967247.8264062</v>
      </c>
      <c r="J56" s="3"/>
      <c r="K56" s="3"/>
      <c r="L56" s="3"/>
      <c r="M56" s="3"/>
    </row>
    <row r="57" spans="1:13" ht="12.75">
      <c r="A57" s="476"/>
      <c r="B57" s="461"/>
      <c r="C57" s="461"/>
      <c r="D57" s="461"/>
      <c r="E57" s="461"/>
      <c r="F57" s="461"/>
      <c r="G57" s="461"/>
      <c r="H57" s="459"/>
      <c r="J57" s="3"/>
      <c r="K57" s="3"/>
      <c r="L57" s="3"/>
      <c r="M57" s="3"/>
    </row>
    <row r="58" spans="1:12" ht="13.5" thickBot="1">
      <c r="A58" s="457" t="s">
        <v>78</v>
      </c>
      <c r="B58" s="483"/>
      <c r="C58" s="460">
        <f aca="true" t="shared" si="5" ref="C58:H58">C50-C56</f>
        <v>366201627.0528376</v>
      </c>
      <c r="D58" s="460">
        <f t="shared" si="5"/>
        <v>728934640.9866357</v>
      </c>
      <c r="E58" s="460">
        <f t="shared" si="5"/>
        <v>576560490.9023244</v>
      </c>
      <c r="F58" s="460">
        <f t="shared" si="5"/>
        <v>499381434.22483873</v>
      </c>
      <c r="G58" s="460">
        <f t="shared" si="5"/>
        <v>336570524.16860986</v>
      </c>
      <c r="H58" s="458">
        <f t="shared" si="5"/>
        <v>1059382568.2249944</v>
      </c>
      <c r="J58" s="3"/>
      <c r="K58" s="3"/>
      <c r="L58" s="3"/>
    </row>
    <row r="59" spans="1:12" ht="12.75">
      <c r="A59" s="3"/>
      <c r="B59" s="3"/>
      <c r="C59" s="3"/>
      <c r="D59" s="3" t="s">
        <v>69</v>
      </c>
      <c r="E59" s="3"/>
      <c r="F59" s="3"/>
      <c r="G59" s="3"/>
      <c r="H59" s="3"/>
      <c r="I59" s="3"/>
      <c r="J59" s="3"/>
      <c r="K59" s="3"/>
      <c r="L59" s="3"/>
    </row>
    <row r="60" spans="1:10" ht="12.75">
      <c r="A60" s="3"/>
      <c r="B60" s="3"/>
      <c r="C60" s="3"/>
      <c r="D60" s="3"/>
      <c r="E60" s="3"/>
      <c r="F60" s="3"/>
      <c r="G60" s="3"/>
      <c r="H60" s="3"/>
      <c r="I60" s="3"/>
      <c r="J60" s="3"/>
    </row>
    <row r="61" spans="1:10" ht="12.75">
      <c r="A61" s="3"/>
      <c r="B61" s="3"/>
      <c r="C61" s="3"/>
      <c r="D61" s="3"/>
      <c r="E61" s="3"/>
      <c r="F61" s="3"/>
      <c r="G61" s="3"/>
      <c r="H61" s="3"/>
      <c r="I61" s="3"/>
      <c r="J61" s="3"/>
    </row>
    <row r="66" spans="1:9" s="3" customFormat="1" ht="12.75">
      <c r="A66" s="1"/>
      <c r="B66" s="1"/>
      <c r="C66" s="1"/>
      <c r="D66" s="1"/>
      <c r="E66" s="1"/>
      <c r="F66" s="1"/>
      <c r="G66" s="1"/>
      <c r="H66" s="1"/>
      <c r="I66" s="1"/>
    </row>
    <row r="67" spans="1:9" s="3" customFormat="1" ht="12.75">
      <c r="A67" s="1"/>
      <c r="B67" s="1"/>
      <c r="C67" s="1"/>
      <c r="D67" s="1"/>
      <c r="E67" s="1"/>
      <c r="F67" s="1"/>
      <c r="G67" s="1"/>
      <c r="H67" s="1"/>
      <c r="I67" s="1"/>
    </row>
    <row r="68" spans="1:9" s="3" customFormat="1" ht="12.75">
      <c r="A68" s="1"/>
      <c r="B68" s="1"/>
      <c r="C68" s="1"/>
      <c r="D68" s="1"/>
      <c r="E68" s="1"/>
      <c r="F68" s="1"/>
      <c r="G68" s="1"/>
      <c r="H68" s="1"/>
      <c r="I68" s="1"/>
    </row>
    <row r="69" spans="1:9" s="3" customFormat="1" ht="12.75">
      <c r="A69" s="1"/>
      <c r="B69" s="1"/>
      <c r="C69" s="1"/>
      <c r="D69" s="1"/>
      <c r="E69" s="1"/>
      <c r="F69" s="1"/>
      <c r="G69" s="1"/>
      <c r="H69" s="1"/>
      <c r="I69" s="1"/>
    </row>
    <row r="70" spans="1:9" s="3" customFormat="1" ht="12.75">
      <c r="A70" s="1"/>
      <c r="B70" s="1"/>
      <c r="C70" s="1"/>
      <c r="D70" s="1"/>
      <c r="E70" s="1"/>
      <c r="F70" s="1"/>
      <c r="G70" s="1"/>
      <c r="H70" s="1"/>
      <c r="I70" s="1"/>
    </row>
    <row r="71" spans="1:9" s="3" customFormat="1" ht="12.75">
      <c r="A71" s="1"/>
      <c r="B71" s="1"/>
      <c r="C71" s="1"/>
      <c r="D71" s="1"/>
      <c r="E71" s="1"/>
      <c r="F71" s="1"/>
      <c r="G71" s="1"/>
      <c r="H71" s="1"/>
      <c r="I71" s="1"/>
    </row>
    <row r="72" spans="1:9" s="3" customFormat="1" ht="12.75">
      <c r="A72" s="1"/>
      <c r="B72" s="1"/>
      <c r="C72" s="1"/>
      <c r="D72" s="1"/>
      <c r="E72" s="1"/>
      <c r="F72" s="1"/>
      <c r="G72" s="1"/>
      <c r="H72" s="1"/>
      <c r="I72" s="1"/>
    </row>
    <row r="73" spans="1:9" s="3" customFormat="1" ht="12.75">
      <c r="A73" s="1"/>
      <c r="B73" s="1"/>
      <c r="C73" s="1"/>
      <c r="D73" s="1"/>
      <c r="E73" s="1"/>
      <c r="F73" s="1"/>
      <c r="G73" s="1"/>
      <c r="H73" s="1"/>
      <c r="I73" s="1"/>
    </row>
    <row r="74" spans="1:9" s="3" customFormat="1" ht="12.75">
      <c r="A74" s="1"/>
      <c r="B74" s="1"/>
      <c r="C74" s="1"/>
      <c r="D74" s="1"/>
      <c r="E74" s="1"/>
      <c r="F74" s="1"/>
      <c r="G74" s="1"/>
      <c r="H74" s="1"/>
      <c r="I74" s="1"/>
    </row>
    <row r="75" spans="1:9" s="3" customFormat="1" ht="12.75">
      <c r="A75" s="1"/>
      <c r="B75" s="1"/>
      <c r="C75" s="1"/>
      <c r="D75" s="1"/>
      <c r="E75" s="1"/>
      <c r="F75" s="1"/>
      <c r="G75" s="1"/>
      <c r="H75" s="1"/>
      <c r="I75" s="1"/>
    </row>
    <row r="76" spans="1:9" s="3" customFormat="1" ht="12.75">
      <c r="A76" s="1"/>
      <c r="B76" s="1"/>
      <c r="C76" s="1"/>
      <c r="D76" s="1"/>
      <c r="E76" s="1"/>
      <c r="F76" s="1"/>
      <c r="G76" s="1"/>
      <c r="H76" s="1"/>
      <c r="I76" s="1"/>
    </row>
    <row r="77" spans="1:9" s="3" customFormat="1" ht="12.75">
      <c r="A77" s="1"/>
      <c r="B77" s="1"/>
      <c r="C77" s="1"/>
      <c r="D77" s="1"/>
      <c r="E77" s="1"/>
      <c r="F77" s="1"/>
      <c r="G77" s="1"/>
      <c r="H77" s="1"/>
      <c r="I77" s="1"/>
    </row>
    <row r="78" spans="1:9" s="3" customFormat="1" ht="12.75">
      <c r="A78" s="1"/>
      <c r="B78" s="1"/>
      <c r="C78" s="1"/>
      <c r="D78" s="1"/>
      <c r="E78" s="1"/>
      <c r="F78" s="1"/>
      <c r="G78" s="1"/>
      <c r="H78" s="1"/>
      <c r="I78" s="1"/>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D689"/>
  <sheetViews>
    <sheetView zoomScalePageLayoutView="0" workbookViewId="0" topLeftCell="A1">
      <pane xSplit="1" ySplit="2" topLeftCell="D92" activePane="bottomRight" state="frozen"/>
      <selection pane="topLeft" activeCell="A1" sqref="A1"/>
      <selection pane="topRight" activeCell="B1" sqref="B1"/>
      <selection pane="bottomLeft" activeCell="A2" sqref="A2"/>
      <selection pane="bottomRight" activeCell="A1" sqref="A1:IV16384"/>
    </sheetView>
  </sheetViews>
  <sheetFormatPr defaultColWidth="9.140625" defaultRowHeight="12.75"/>
  <cols>
    <col min="1" max="1" width="22.8515625" style="1" customWidth="1"/>
    <col min="2" max="2" width="8.28125" style="181" customWidth="1"/>
    <col min="3" max="3" width="7.28125" style="181" customWidth="1"/>
    <col min="4" max="4" width="7.28125" style="27" customWidth="1"/>
    <col min="5" max="5" width="9.421875" style="27" customWidth="1"/>
    <col min="6" max="6" width="8.7109375" style="27" customWidth="1"/>
    <col min="7" max="7" width="7.7109375" style="27" customWidth="1"/>
    <col min="8" max="9" width="8.140625" style="181" customWidth="1"/>
    <col min="10" max="10" width="7.00390625" style="181" bestFit="1" customWidth="1"/>
    <col min="11" max="11" width="10.28125" style="181" customWidth="1"/>
    <col min="12" max="12" width="10.140625" style="181" customWidth="1"/>
    <col min="13" max="13" width="8.140625" style="181" customWidth="1"/>
    <col min="14" max="14" width="8.57421875" style="181" customWidth="1"/>
    <col min="15" max="15" width="9.00390625" style="181" customWidth="1"/>
    <col min="16" max="16" width="8.140625" style="181" customWidth="1"/>
    <col min="17" max="17" width="9.28125" style="181" customWidth="1"/>
    <col min="18" max="18" width="35.00390625" style="5" customWidth="1"/>
    <col min="19" max="19" width="8.7109375" style="5" customWidth="1"/>
    <col min="20" max="16384" width="9.140625" style="164" customWidth="1"/>
  </cols>
  <sheetData>
    <row r="1" spans="1:16" ht="12.75">
      <c r="A1" s="259"/>
      <c r="B1" s="598" t="s">
        <v>152</v>
      </c>
      <c r="C1" s="598"/>
      <c r="D1" s="598"/>
      <c r="E1" s="598"/>
      <c r="F1" s="598"/>
      <c r="G1" s="598"/>
      <c r="H1" s="598"/>
      <c r="I1" s="598"/>
      <c r="J1" s="598"/>
      <c r="K1" s="595" t="s">
        <v>148</v>
      </c>
      <c r="L1" s="596"/>
      <c r="M1" s="597"/>
      <c r="N1" s="595" t="s">
        <v>147</v>
      </c>
      <c r="O1" s="596"/>
      <c r="P1" s="597"/>
    </row>
    <row r="2" spans="1:24" ht="14.25" thickBot="1">
      <c r="A2" s="430" t="s">
        <v>496</v>
      </c>
      <c r="B2" s="37" t="s">
        <v>368</v>
      </c>
      <c r="C2" s="37" t="s">
        <v>454</v>
      </c>
      <c r="D2" s="37" t="s">
        <v>584</v>
      </c>
      <c r="E2" s="37" t="s">
        <v>536</v>
      </c>
      <c r="F2" s="37" t="s">
        <v>458</v>
      </c>
      <c r="G2" s="37" t="s">
        <v>537</v>
      </c>
      <c r="H2" s="37" t="s">
        <v>388</v>
      </c>
      <c r="I2" s="37" t="s">
        <v>389</v>
      </c>
      <c r="J2" s="37" t="s">
        <v>413</v>
      </c>
      <c r="K2" s="392" t="s">
        <v>149</v>
      </c>
      <c r="L2" s="349" t="s">
        <v>150</v>
      </c>
      <c r="M2" s="393" t="s">
        <v>151</v>
      </c>
      <c r="N2" s="392" t="s">
        <v>149</v>
      </c>
      <c r="O2" s="349" t="s">
        <v>150</v>
      </c>
      <c r="P2" s="393" t="s">
        <v>151</v>
      </c>
      <c r="Q2" s="37" t="s">
        <v>139</v>
      </c>
      <c r="R2" s="14" t="s">
        <v>367</v>
      </c>
      <c r="S2" s="14" t="s">
        <v>366</v>
      </c>
      <c r="T2" s="368"/>
      <c r="U2" s="368"/>
      <c r="V2" s="368"/>
      <c r="W2" s="368"/>
      <c r="X2" s="368"/>
    </row>
    <row r="3" spans="1:22" ht="12.75">
      <c r="A3" s="431" t="s">
        <v>170</v>
      </c>
      <c r="B3" s="428" t="e">
        <v>#N/A</v>
      </c>
      <c r="C3" s="165">
        <v>0.875</v>
      </c>
      <c r="D3" s="150" t="e">
        <f>C3/B3</f>
        <v>#N/A</v>
      </c>
      <c r="E3" s="150" t="e">
        <f aca="true" t="shared" si="0" ref="E3:E49">$D$198*B3</f>
        <v>#N/A</v>
      </c>
      <c r="F3" s="150">
        <v>0.875</v>
      </c>
      <c r="G3" s="150">
        <f>$D$199*F3</f>
        <v>0.74375</v>
      </c>
      <c r="H3" s="165">
        <v>0.75</v>
      </c>
      <c r="I3" s="166">
        <f>8800000/16400000</f>
        <v>0.5365853658536586</v>
      </c>
      <c r="J3" s="390"/>
      <c r="K3" s="421">
        <v>227</v>
      </c>
      <c r="L3" s="167">
        <v>273</v>
      </c>
      <c r="M3" s="422">
        <f>AVERAGE(K3:L3)*0.00220462262</f>
        <v>0.551155655</v>
      </c>
      <c r="N3" s="417"/>
      <c r="O3" s="369"/>
      <c r="P3" s="377"/>
      <c r="Q3" s="384">
        <f>AVERAGE(P3,M3,H3:J3)</f>
        <v>0.6125803402845529</v>
      </c>
      <c r="R3" s="380" t="s">
        <v>390</v>
      </c>
      <c r="S3" s="168" t="s">
        <v>799</v>
      </c>
      <c r="U3" s="705"/>
      <c r="V3" s="705"/>
    </row>
    <row r="4" spans="1:24" ht="12.75">
      <c r="A4" s="432" t="s">
        <v>171</v>
      </c>
      <c r="B4" s="419" t="e">
        <v>#N/A</v>
      </c>
      <c r="C4" s="170" t="e">
        <v>#N/A</v>
      </c>
      <c r="D4" s="29" t="e">
        <f aca="true" t="shared" si="1" ref="D4:D13">C4/B4</f>
        <v>#N/A</v>
      </c>
      <c r="E4" s="29" t="e">
        <f t="shared" si="0"/>
        <v>#N/A</v>
      </c>
      <c r="F4" s="29"/>
      <c r="G4" s="29"/>
      <c r="H4" s="170">
        <v>0.04188712522045855</v>
      </c>
      <c r="I4" s="170"/>
      <c r="J4" s="172"/>
      <c r="K4" s="423">
        <v>3.1</v>
      </c>
      <c r="L4" s="170">
        <v>94.33</v>
      </c>
      <c r="M4" s="424">
        <f>AVERAGE(K4:L4)*0.00220462262</f>
        <v>0.10739819093329998</v>
      </c>
      <c r="N4" s="418"/>
      <c r="O4" s="370"/>
      <c r="P4" s="378"/>
      <c r="Q4" s="385">
        <f aca="true" t="shared" si="2" ref="Q4:Q67">AVERAGE(P4,M4,H4:J4)</f>
        <v>0.07464265807687927</v>
      </c>
      <c r="R4" s="381" t="s">
        <v>387</v>
      </c>
      <c r="S4" s="171">
        <v>24</v>
      </c>
      <c r="U4" s="705"/>
      <c r="V4" s="705"/>
      <c r="X4" s="364"/>
    </row>
    <row r="5" spans="1:22" ht="12.75">
      <c r="A5" s="432" t="s">
        <v>172</v>
      </c>
      <c r="B5" s="419" t="e">
        <v>#N/A</v>
      </c>
      <c r="C5" s="170">
        <v>2</v>
      </c>
      <c r="D5" s="29" t="e">
        <f t="shared" si="1"/>
        <v>#N/A</v>
      </c>
      <c r="E5" s="29" t="e">
        <f t="shared" si="0"/>
        <v>#N/A</v>
      </c>
      <c r="F5" s="29">
        <v>2</v>
      </c>
      <c r="G5" s="29">
        <f>$D$199*F5</f>
        <v>1.7</v>
      </c>
      <c r="H5" s="170"/>
      <c r="I5" s="170"/>
      <c r="J5" s="172"/>
      <c r="K5" s="423">
        <v>697.28</v>
      </c>
      <c r="L5" s="170">
        <v>748.16</v>
      </c>
      <c r="M5" s="424">
        <f>AVERAGE(K5:L5)*0.00220462262</f>
        <v>1.5933248599264</v>
      </c>
      <c r="N5" s="418"/>
      <c r="O5" s="370"/>
      <c r="P5" s="378"/>
      <c r="Q5" s="385">
        <f t="shared" si="2"/>
        <v>1.5933248599264</v>
      </c>
      <c r="R5" s="381" t="s">
        <v>369</v>
      </c>
      <c r="S5" s="171">
        <v>10</v>
      </c>
      <c r="U5" s="705"/>
      <c r="V5" s="705"/>
    </row>
    <row r="6" spans="1:22" ht="12.75">
      <c r="A6" s="432" t="s">
        <v>173</v>
      </c>
      <c r="B6" s="419">
        <v>31.75</v>
      </c>
      <c r="C6" s="170">
        <v>31</v>
      </c>
      <c r="D6" s="29">
        <f t="shared" si="1"/>
        <v>0.9763779527559056</v>
      </c>
      <c r="E6" s="29">
        <f t="shared" si="0"/>
        <v>23.593483543115536</v>
      </c>
      <c r="F6" s="29">
        <v>27.08875</v>
      </c>
      <c r="G6" s="40"/>
      <c r="H6" s="170">
        <f>2.205*2.679</f>
        <v>5.907195</v>
      </c>
      <c r="I6" s="170">
        <v>3</v>
      </c>
      <c r="J6" s="172">
        <v>2</v>
      </c>
      <c r="K6" s="423">
        <v>1942.671564</v>
      </c>
      <c r="L6" s="170">
        <v>1942.671564</v>
      </c>
      <c r="M6" s="424">
        <f>AVERAGE(K6:L6)*0.00220462262</f>
        <v>4.282857673225178</v>
      </c>
      <c r="N6" s="418">
        <v>2</v>
      </c>
      <c r="O6" s="370">
        <v>5.5</v>
      </c>
      <c r="P6" s="378">
        <f>AVERAGE(N6:O6)*2.20462262</f>
        <v>8.267334824999999</v>
      </c>
      <c r="Q6" s="385">
        <f t="shared" si="2"/>
        <v>4.691477499645035</v>
      </c>
      <c r="R6" s="381" t="s">
        <v>414</v>
      </c>
      <c r="S6" s="171" t="s">
        <v>489</v>
      </c>
      <c r="U6" s="705"/>
      <c r="V6" s="705"/>
    </row>
    <row r="7" spans="1:22" ht="12.75">
      <c r="A7" s="432" t="s">
        <v>174</v>
      </c>
      <c r="B7" s="419" t="e">
        <v>#N/A</v>
      </c>
      <c r="C7" s="172">
        <v>1</v>
      </c>
      <c r="D7" s="29" t="e">
        <f>C7/B7</f>
        <v>#N/A</v>
      </c>
      <c r="E7" s="29" t="e">
        <f>$D$198*B7</f>
        <v>#N/A</v>
      </c>
      <c r="F7" s="29">
        <v>1</v>
      </c>
      <c r="G7" s="29">
        <f>$D$199*F7</f>
        <v>0.85</v>
      </c>
      <c r="H7" s="170"/>
      <c r="I7" s="170"/>
      <c r="J7" s="172"/>
      <c r="K7" s="423">
        <v>1164.415233</v>
      </c>
      <c r="L7" s="170">
        <v>1164.415233</v>
      </c>
      <c r="M7" s="424">
        <f>AVERAGE(K7:L7)*0.00220462262</f>
        <v>2.56709616174437</v>
      </c>
      <c r="N7" s="418"/>
      <c r="O7" s="370"/>
      <c r="P7" s="378"/>
      <c r="Q7" s="385">
        <f t="shared" si="2"/>
        <v>2.56709616174437</v>
      </c>
      <c r="R7" s="381"/>
      <c r="S7" s="171">
        <v>20</v>
      </c>
      <c r="U7" s="705"/>
      <c r="V7" s="705"/>
    </row>
    <row r="8" spans="1:30" ht="12.75">
      <c r="A8" s="432" t="s">
        <v>175</v>
      </c>
      <c r="B8" s="429" t="e">
        <v>#N/A</v>
      </c>
      <c r="C8" s="172">
        <v>12</v>
      </c>
      <c r="D8" s="29" t="e">
        <f t="shared" si="1"/>
        <v>#N/A</v>
      </c>
      <c r="E8" s="29" t="e">
        <f t="shared" si="0"/>
        <v>#N/A</v>
      </c>
      <c r="F8" s="29">
        <v>12</v>
      </c>
      <c r="G8" s="29">
        <f>$D$199*F8</f>
        <v>10.2</v>
      </c>
      <c r="H8" s="170">
        <v>2.04</v>
      </c>
      <c r="I8" s="170"/>
      <c r="J8" s="172"/>
      <c r="K8" s="423"/>
      <c r="L8" s="170"/>
      <c r="M8" s="424"/>
      <c r="N8" s="418"/>
      <c r="O8" s="370"/>
      <c r="P8" s="378"/>
      <c r="Q8" s="385">
        <f t="shared" si="2"/>
        <v>2.04</v>
      </c>
      <c r="R8" s="381" t="s">
        <v>393</v>
      </c>
      <c r="S8" s="171" t="s">
        <v>547</v>
      </c>
      <c r="U8" s="706"/>
      <c r="V8" s="706"/>
      <c r="W8" s="293"/>
      <c r="X8" s="293"/>
      <c r="Y8" s="706"/>
      <c r="Z8" s="706"/>
      <c r="AA8" s="293"/>
      <c r="AB8" s="706"/>
      <c r="AC8" s="706"/>
      <c r="AD8" s="293"/>
    </row>
    <row r="9" spans="1:26" ht="12.75">
      <c r="A9" s="432" t="s">
        <v>176</v>
      </c>
      <c r="B9" s="419" t="e">
        <v>#N/A</v>
      </c>
      <c r="C9" s="173">
        <v>1.1025</v>
      </c>
      <c r="D9" s="29" t="e">
        <f t="shared" si="1"/>
        <v>#N/A</v>
      </c>
      <c r="E9" s="29" t="e">
        <f t="shared" si="0"/>
        <v>#N/A</v>
      </c>
      <c r="F9" s="29">
        <v>1.1025</v>
      </c>
      <c r="G9" s="29">
        <f>$D$199*F9</f>
        <v>0.937125</v>
      </c>
      <c r="H9" s="170">
        <v>0.5</v>
      </c>
      <c r="I9" s="170"/>
      <c r="J9" s="172"/>
      <c r="K9" s="423">
        <v>70</v>
      </c>
      <c r="L9" s="170">
        <v>100</v>
      </c>
      <c r="M9" s="424">
        <f>AVERAGE(K9:L9)*0.00220462262</f>
        <v>0.1873929227</v>
      </c>
      <c r="N9" s="418"/>
      <c r="O9" s="370"/>
      <c r="P9" s="378"/>
      <c r="Q9" s="385">
        <f t="shared" si="2"/>
        <v>0.34369646135</v>
      </c>
      <c r="R9" s="381"/>
      <c r="S9" s="171" t="s">
        <v>261</v>
      </c>
      <c r="U9" s="705"/>
      <c r="V9" s="705"/>
      <c r="Y9" s="705"/>
      <c r="Z9" s="705"/>
    </row>
    <row r="10" spans="1:19" ht="12.75">
      <c r="A10" s="432" t="s">
        <v>177</v>
      </c>
      <c r="B10" s="419">
        <v>3.75</v>
      </c>
      <c r="C10" s="170" t="e">
        <v>#N/A</v>
      </c>
      <c r="D10" s="29" t="e">
        <f>C10/B10</f>
        <v>#N/A</v>
      </c>
      <c r="E10" s="29">
        <f t="shared" si="0"/>
        <v>2.786631914541205</v>
      </c>
      <c r="F10" s="29">
        <v>2.7375</v>
      </c>
      <c r="G10" s="29">
        <f>$D$199*F10</f>
        <v>2.326875</v>
      </c>
      <c r="H10" s="170">
        <v>7.5</v>
      </c>
      <c r="I10" s="170"/>
      <c r="J10" s="172"/>
      <c r="K10" s="423"/>
      <c r="L10" s="170"/>
      <c r="M10" s="425"/>
      <c r="N10" s="419"/>
      <c r="O10" s="170"/>
      <c r="P10" s="172"/>
      <c r="Q10" s="385">
        <f t="shared" si="2"/>
        <v>7.5</v>
      </c>
      <c r="R10" s="381" t="s">
        <v>539</v>
      </c>
      <c r="S10" s="171" t="s">
        <v>258</v>
      </c>
    </row>
    <row r="11" spans="1:19" ht="12.75">
      <c r="A11" s="432" t="s">
        <v>327</v>
      </c>
      <c r="B11" s="419">
        <v>0.75</v>
      </c>
      <c r="C11" s="170" t="e">
        <v>#N/A</v>
      </c>
      <c r="D11" s="29" t="e">
        <f t="shared" si="1"/>
        <v>#N/A</v>
      </c>
      <c r="E11" s="29">
        <f>$D$198*B11</f>
        <v>0.557326382908241</v>
      </c>
      <c r="F11" s="29">
        <v>0.5475</v>
      </c>
      <c r="G11" s="29">
        <f>$D$199*F11</f>
        <v>0.465375</v>
      </c>
      <c r="H11" s="170">
        <v>1.0625</v>
      </c>
      <c r="I11" s="170"/>
      <c r="J11" s="172"/>
      <c r="K11" s="423"/>
      <c r="L11" s="170"/>
      <c r="M11" s="425"/>
      <c r="N11" s="419"/>
      <c r="O11" s="170"/>
      <c r="P11" s="172"/>
      <c r="Q11" s="385">
        <f t="shared" si="2"/>
        <v>1.0625</v>
      </c>
      <c r="R11" s="381" t="s">
        <v>394</v>
      </c>
      <c r="S11" s="171" t="s">
        <v>257</v>
      </c>
    </row>
    <row r="12" spans="1:22" ht="12.75">
      <c r="A12" s="432" t="s">
        <v>178</v>
      </c>
      <c r="B12" s="419">
        <v>98.75</v>
      </c>
      <c r="C12" s="170">
        <v>66</v>
      </c>
      <c r="D12" s="29">
        <f t="shared" si="1"/>
        <v>0.6683544303797468</v>
      </c>
      <c r="E12" s="29">
        <f t="shared" si="0"/>
        <v>73.3813070829184</v>
      </c>
      <c r="F12" s="29">
        <v>69.04375</v>
      </c>
      <c r="G12" s="29"/>
      <c r="H12" s="170">
        <v>3.038</v>
      </c>
      <c r="I12" s="170"/>
      <c r="J12" s="172"/>
      <c r="K12" s="423">
        <v>800</v>
      </c>
      <c r="L12" s="170">
        <v>4000</v>
      </c>
      <c r="M12" s="424">
        <f>AVERAGE(K12:L12)*0.00220462262</f>
        <v>5.291094288</v>
      </c>
      <c r="N12" s="418">
        <v>0.5</v>
      </c>
      <c r="O12" s="370">
        <v>1</v>
      </c>
      <c r="P12" s="378">
        <f>AVERAGE(N12:O12)*2.20462262</f>
        <v>1.6534669649999998</v>
      </c>
      <c r="Q12" s="385">
        <f t="shared" si="2"/>
        <v>3.327520417666667</v>
      </c>
      <c r="R12" s="381" t="s">
        <v>243</v>
      </c>
      <c r="S12" s="171" t="s">
        <v>548</v>
      </c>
      <c r="U12" s="705"/>
      <c r="V12" s="705"/>
    </row>
    <row r="13" spans="1:22" ht="12.75">
      <c r="A13" s="432" t="s">
        <v>179</v>
      </c>
      <c r="B13" s="419">
        <v>19.625</v>
      </c>
      <c r="C13" s="170" t="e">
        <v>#N/A</v>
      </c>
      <c r="D13" s="29" t="e">
        <f t="shared" si="1"/>
        <v>#N/A</v>
      </c>
      <c r="E13" s="29">
        <f t="shared" si="0"/>
        <v>14.583373686098973</v>
      </c>
      <c r="F13" s="29">
        <v>14.32625</v>
      </c>
      <c r="G13" s="29"/>
      <c r="H13" s="170">
        <f>(7.7+8.1+7.6)/3</f>
        <v>7.8</v>
      </c>
      <c r="I13" s="170"/>
      <c r="J13" s="172"/>
      <c r="K13" s="423">
        <v>2273</v>
      </c>
      <c r="L13" s="170">
        <v>4545</v>
      </c>
      <c r="M13" s="424">
        <f>AVERAGE(K13:L13)*0.00220462262</f>
        <v>7.51555851158</v>
      </c>
      <c r="N13" s="418">
        <v>2</v>
      </c>
      <c r="O13" s="370">
        <v>5</v>
      </c>
      <c r="P13" s="378">
        <f>AVERAGE(N13:O13)*2.20462262</f>
        <v>7.716179169999999</v>
      </c>
      <c r="Q13" s="385">
        <f t="shared" si="2"/>
        <v>7.67724589386</v>
      </c>
      <c r="R13" s="381" t="s">
        <v>244</v>
      </c>
      <c r="S13" s="171" t="s">
        <v>144</v>
      </c>
      <c r="U13" s="705"/>
      <c r="V13" s="705"/>
    </row>
    <row r="14" spans="1:19" ht="12.75">
      <c r="A14" s="432" t="s">
        <v>180</v>
      </c>
      <c r="B14" s="419" t="e">
        <v>#N/A</v>
      </c>
      <c r="C14" s="170">
        <v>35</v>
      </c>
      <c r="D14" s="29" t="e">
        <f>C14/B14</f>
        <v>#N/A</v>
      </c>
      <c r="E14" s="29" t="e">
        <f t="shared" si="0"/>
        <v>#N/A</v>
      </c>
      <c r="F14" s="29">
        <v>35</v>
      </c>
      <c r="G14" s="40"/>
      <c r="H14" s="170">
        <v>10</v>
      </c>
      <c r="I14" s="170">
        <v>1.5</v>
      </c>
      <c r="J14" s="172">
        <v>7</v>
      </c>
      <c r="K14" s="423"/>
      <c r="L14" s="170"/>
      <c r="M14" s="425"/>
      <c r="N14" s="419"/>
      <c r="O14" s="170"/>
      <c r="P14" s="172"/>
      <c r="Q14" s="385">
        <f t="shared" si="2"/>
        <v>6.166666666666667</v>
      </c>
      <c r="R14" s="381" t="s">
        <v>415</v>
      </c>
      <c r="S14" s="171" t="s">
        <v>565</v>
      </c>
    </row>
    <row r="15" spans="1:19" ht="12.75">
      <c r="A15" s="432" t="s">
        <v>181</v>
      </c>
      <c r="B15" s="419" t="e">
        <v>#N/A</v>
      </c>
      <c r="C15" s="170">
        <v>2</v>
      </c>
      <c r="D15" s="29" t="e">
        <f aca="true" t="shared" si="3" ref="D15:D85">C15/B15</f>
        <v>#N/A</v>
      </c>
      <c r="E15" s="29" t="e">
        <f>$D$198*B15</f>
        <v>#N/A</v>
      </c>
      <c r="F15" s="29">
        <v>2</v>
      </c>
      <c r="G15" s="29">
        <f>$D$199*F15</f>
        <v>1.7</v>
      </c>
      <c r="H15" s="170">
        <v>0.9</v>
      </c>
      <c r="I15" s="170">
        <v>0.333</v>
      </c>
      <c r="J15" s="172">
        <f>2.205*0.339</f>
        <v>0.747495</v>
      </c>
      <c r="K15" s="423">
        <v>227</v>
      </c>
      <c r="L15" s="170">
        <v>909</v>
      </c>
      <c r="M15" s="424">
        <f>AVERAGE(K15:L15)*0.00220462262</f>
        <v>1.25222564816</v>
      </c>
      <c r="N15" s="418">
        <v>0.5</v>
      </c>
      <c r="O15" s="370">
        <v>1</v>
      </c>
      <c r="P15" s="378">
        <f>AVERAGE(N15:O15)*2.20462262</f>
        <v>1.6534669649999998</v>
      </c>
      <c r="Q15" s="385">
        <f t="shared" si="2"/>
        <v>0.9772375226319999</v>
      </c>
      <c r="R15" s="381"/>
      <c r="S15" s="171" t="s">
        <v>550</v>
      </c>
    </row>
    <row r="16" spans="1:19" ht="12.75">
      <c r="A16" s="432" t="s">
        <v>182</v>
      </c>
      <c r="B16" s="419" t="e">
        <v>#N/A</v>
      </c>
      <c r="C16" s="170">
        <v>2</v>
      </c>
      <c r="D16" s="29" t="e">
        <f t="shared" si="3"/>
        <v>#N/A</v>
      </c>
      <c r="E16" s="29" t="e">
        <f t="shared" si="0"/>
        <v>#N/A</v>
      </c>
      <c r="F16" s="29">
        <v>2</v>
      </c>
      <c r="G16" s="29">
        <f>$D$199*F16</f>
        <v>1.7</v>
      </c>
      <c r="H16" s="170">
        <v>0.9</v>
      </c>
      <c r="I16" s="170"/>
      <c r="J16" s="172"/>
      <c r="K16" s="423"/>
      <c r="L16" s="170"/>
      <c r="M16" s="425"/>
      <c r="N16" s="419"/>
      <c r="O16" s="170"/>
      <c r="P16" s="172"/>
      <c r="Q16" s="385">
        <f t="shared" si="2"/>
        <v>0.9</v>
      </c>
      <c r="R16" s="381" t="s">
        <v>248</v>
      </c>
      <c r="S16" s="171" t="s">
        <v>247</v>
      </c>
    </row>
    <row r="17" spans="1:19" ht="12.75">
      <c r="A17" s="432" t="s">
        <v>183</v>
      </c>
      <c r="B17" s="419">
        <v>27</v>
      </c>
      <c r="C17" s="170">
        <v>20</v>
      </c>
      <c r="D17" s="29">
        <f t="shared" si="3"/>
        <v>0.7407407407407407</v>
      </c>
      <c r="E17" s="29">
        <f t="shared" si="0"/>
        <v>20.063749784696675</v>
      </c>
      <c r="F17" s="29">
        <v>19.855</v>
      </c>
      <c r="G17" s="29">
        <f>$D$199*F17</f>
        <v>16.87675</v>
      </c>
      <c r="H17" s="170"/>
      <c r="I17" s="170"/>
      <c r="J17" s="172"/>
      <c r="K17" s="423">
        <v>8000</v>
      </c>
      <c r="L17" s="170">
        <v>8000</v>
      </c>
      <c r="M17" s="424">
        <f aca="true" t="shared" si="4" ref="M17:M24">AVERAGE(K17:L17)*0.00220462262</f>
        <v>17.63698096</v>
      </c>
      <c r="N17" s="419"/>
      <c r="O17" s="170"/>
      <c r="P17" s="172"/>
      <c r="Q17" s="385">
        <f t="shared" si="2"/>
        <v>17.63698096</v>
      </c>
      <c r="R17" s="381"/>
      <c r="S17" s="171" t="s">
        <v>255</v>
      </c>
    </row>
    <row r="18" spans="1:19" ht="12.75">
      <c r="A18" s="432" t="s">
        <v>184</v>
      </c>
      <c r="B18" s="419" t="e">
        <v>#N/A</v>
      </c>
      <c r="C18" s="170" t="e">
        <v>#N/A</v>
      </c>
      <c r="D18" s="29" t="e">
        <f t="shared" si="3"/>
        <v>#N/A</v>
      </c>
      <c r="E18" s="29" t="e">
        <f t="shared" si="0"/>
        <v>#N/A</v>
      </c>
      <c r="F18" s="29"/>
      <c r="G18" s="29"/>
      <c r="H18" s="170">
        <v>24</v>
      </c>
      <c r="I18" s="170">
        <v>30</v>
      </c>
      <c r="J18" s="172"/>
      <c r="K18" s="423">
        <v>28000</v>
      </c>
      <c r="L18" s="170">
        <v>28000</v>
      </c>
      <c r="M18" s="424">
        <f t="shared" si="4"/>
        <v>61.72943336</v>
      </c>
      <c r="N18" s="419"/>
      <c r="O18" s="170"/>
      <c r="P18" s="172"/>
      <c r="Q18" s="385">
        <f t="shared" si="2"/>
        <v>38.576477786666665</v>
      </c>
      <c r="R18" s="381" t="s">
        <v>249</v>
      </c>
      <c r="S18" s="171" t="s">
        <v>254</v>
      </c>
    </row>
    <row r="19" spans="1:19" ht="12.75">
      <c r="A19" s="432" t="s">
        <v>185</v>
      </c>
      <c r="B19" s="419" t="e">
        <v>#N/A</v>
      </c>
      <c r="C19" s="170" t="e">
        <v>#N/A</v>
      </c>
      <c r="D19" s="29" t="e">
        <f t="shared" si="3"/>
        <v>#N/A</v>
      </c>
      <c r="E19" s="29" t="e">
        <f>$D$198*B19</f>
        <v>#N/A</v>
      </c>
      <c r="F19" s="29"/>
      <c r="G19" s="29"/>
      <c r="H19" s="170">
        <v>2</v>
      </c>
      <c r="I19" s="181">
        <f>0.2*2.2046</f>
        <v>0.44092000000000003</v>
      </c>
      <c r="J19" s="172"/>
      <c r="K19" s="423"/>
      <c r="L19" s="170"/>
      <c r="M19" s="425"/>
      <c r="N19" s="419"/>
      <c r="O19" s="170"/>
      <c r="P19" s="172"/>
      <c r="Q19" s="385">
        <f t="shared" si="2"/>
        <v>1.22046</v>
      </c>
      <c r="R19" s="381" t="s">
        <v>250</v>
      </c>
      <c r="S19" s="171" t="s">
        <v>796</v>
      </c>
    </row>
    <row r="20" spans="1:22" ht="12.75">
      <c r="A20" s="432" t="s">
        <v>186</v>
      </c>
      <c r="B20" s="419" t="e">
        <v>#N/A</v>
      </c>
      <c r="C20" s="170" t="e">
        <v>#N/A</v>
      </c>
      <c r="D20" s="29" t="e">
        <f t="shared" si="3"/>
        <v>#N/A</v>
      </c>
      <c r="E20" s="29" t="e">
        <f t="shared" si="0"/>
        <v>#N/A</v>
      </c>
      <c r="F20" s="29"/>
      <c r="G20" s="29"/>
      <c r="H20" s="170">
        <v>10</v>
      </c>
      <c r="I20" s="170"/>
      <c r="J20" s="172"/>
      <c r="K20" s="423">
        <v>130.912113</v>
      </c>
      <c r="L20" s="170">
        <v>260.112268</v>
      </c>
      <c r="M20" s="424">
        <f t="shared" si="4"/>
        <v>0.43103059766204904</v>
      </c>
      <c r="N20" s="418"/>
      <c r="O20" s="370"/>
      <c r="P20" s="378"/>
      <c r="Q20" s="385">
        <f t="shared" si="2"/>
        <v>5.215515298831025</v>
      </c>
      <c r="R20" s="381"/>
      <c r="S20" s="171">
        <v>34</v>
      </c>
      <c r="U20" s="705"/>
      <c r="V20" s="705"/>
    </row>
    <row r="21" spans="1:22" ht="12.75">
      <c r="A21" s="432" t="s">
        <v>187</v>
      </c>
      <c r="B21" s="419">
        <v>7</v>
      </c>
      <c r="C21" s="170" t="e">
        <v>#N/A</v>
      </c>
      <c r="D21" s="29" t="e">
        <f t="shared" si="3"/>
        <v>#N/A</v>
      </c>
      <c r="E21" s="29">
        <f t="shared" si="0"/>
        <v>5.201712907143582</v>
      </c>
      <c r="F21" s="29">
        <v>5.202</v>
      </c>
      <c r="G21" s="29">
        <f>$D$199*F21</f>
        <v>4.4216999999999995</v>
      </c>
      <c r="H21" s="170">
        <v>0.792</v>
      </c>
      <c r="I21" s="170"/>
      <c r="J21" s="172"/>
      <c r="K21" s="423">
        <v>1400</v>
      </c>
      <c r="L21" s="170">
        <v>1400</v>
      </c>
      <c r="M21" s="424">
        <f t="shared" si="4"/>
        <v>3.0864716679999997</v>
      </c>
      <c r="N21" s="418"/>
      <c r="O21" s="370"/>
      <c r="P21" s="378"/>
      <c r="Q21" s="385">
        <f t="shared" si="2"/>
        <v>1.9392358339999998</v>
      </c>
      <c r="R21" s="381"/>
      <c r="S21" s="171" t="s">
        <v>566</v>
      </c>
      <c r="U21" s="705"/>
      <c r="V21" s="705"/>
    </row>
    <row r="22" spans="1:22" ht="12.75">
      <c r="A22" s="432" t="s">
        <v>188</v>
      </c>
      <c r="B22" s="419" t="e">
        <v>#N/A</v>
      </c>
      <c r="C22" s="170" t="e">
        <v>#N/A</v>
      </c>
      <c r="D22" s="29" t="e">
        <f t="shared" si="3"/>
        <v>#N/A</v>
      </c>
      <c r="E22" s="29" t="e">
        <f t="shared" si="0"/>
        <v>#N/A</v>
      </c>
      <c r="F22" s="29"/>
      <c r="G22" s="29"/>
      <c r="H22" s="170">
        <v>0.5</v>
      </c>
      <c r="I22" s="170"/>
      <c r="J22" s="172"/>
      <c r="K22" s="423">
        <v>909</v>
      </c>
      <c r="L22" s="170">
        <v>2500</v>
      </c>
      <c r="M22" s="424">
        <f t="shared" si="4"/>
        <v>3.75777925579</v>
      </c>
      <c r="N22" s="418"/>
      <c r="O22" s="370"/>
      <c r="P22" s="378">
        <f>2*2.20462262</f>
        <v>4.40924524</v>
      </c>
      <c r="Q22" s="385">
        <f t="shared" si="2"/>
        <v>2.889008165263333</v>
      </c>
      <c r="R22" s="381"/>
      <c r="S22" s="171">
        <v>36</v>
      </c>
      <c r="U22" s="705"/>
      <c r="V22" s="705"/>
    </row>
    <row r="23" spans="1:22" ht="12.75">
      <c r="A23" s="432" t="s">
        <v>189</v>
      </c>
      <c r="B23" s="419" t="e">
        <v>#N/A</v>
      </c>
      <c r="C23" s="170" t="e">
        <v>#N/A</v>
      </c>
      <c r="D23" s="29" t="e">
        <f t="shared" si="3"/>
        <v>#N/A</v>
      </c>
      <c r="E23" s="29" t="e">
        <f>$D$198*B23</f>
        <v>#N/A</v>
      </c>
      <c r="F23" s="29"/>
      <c r="G23" s="29"/>
      <c r="H23" s="170">
        <v>3.5</v>
      </c>
      <c r="I23" s="170">
        <f>2.205*0.318</f>
        <v>0.70119</v>
      </c>
      <c r="J23" s="172"/>
      <c r="K23" s="423">
        <v>907</v>
      </c>
      <c r="L23" s="170">
        <v>2268</v>
      </c>
      <c r="M23" s="424">
        <f t="shared" si="4"/>
        <v>3.49983840925</v>
      </c>
      <c r="N23" s="418"/>
      <c r="O23" s="370"/>
      <c r="P23" s="378"/>
      <c r="Q23" s="385">
        <f t="shared" si="2"/>
        <v>2.56700946975</v>
      </c>
      <c r="R23" s="381"/>
      <c r="S23" s="171" t="s">
        <v>488</v>
      </c>
      <c r="U23" s="705"/>
      <c r="V23" s="705"/>
    </row>
    <row r="24" spans="1:19" ht="12.75">
      <c r="A24" s="432" t="s">
        <v>190</v>
      </c>
      <c r="B24" s="419" t="e">
        <v>#N/A</v>
      </c>
      <c r="C24" s="170" t="e">
        <v>#N/A</v>
      </c>
      <c r="D24" s="29" t="e">
        <f t="shared" si="3"/>
        <v>#N/A</v>
      </c>
      <c r="E24" s="29" t="e">
        <f t="shared" si="0"/>
        <v>#N/A</v>
      </c>
      <c r="F24" s="29"/>
      <c r="G24" s="29"/>
      <c r="H24" s="170">
        <v>3.1</v>
      </c>
      <c r="I24" s="170"/>
      <c r="J24" s="172"/>
      <c r="K24" s="423">
        <v>23.318957</v>
      </c>
      <c r="L24" s="170">
        <v>970.845791</v>
      </c>
      <c r="M24" s="424">
        <f t="shared" si="4"/>
        <v>1.0958790457236998</v>
      </c>
      <c r="N24" s="419"/>
      <c r="O24" s="170"/>
      <c r="P24" s="172"/>
      <c r="Q24" s="385">
        <f t="shared" si="2"/>
        <v>2.09793952286185</v>
      </c>
      <c r="R24" s="381"/>
      <c r="S24" s="171">
        <v>44</v>
      </c>
    </row>
    <row r="25" spans="1:19" ht="12.75">
      <c r="A25" s="432" t="s">
        <v>191</v>
      </c>
      <c r="B25" s="419" t="e">
        <v>#N/A</v>
      </c>
      <c r="C25" s="170" t="e">
        <v>#N/A</v>
      </c>
      <c r="D25" s="29" t="e">
        <f t="shared" si="3"/>
        <v>#N/A</v>
      </c>
      <c r="E25" s="29" t="e">
        <f t="shared" si="0"/>
        <v>#N/A</v>
      </c>
      <c r="F25" s="29"/>
      <c r="G25" s="29"/>
      <c r="H25" s="170">
        <v>2.8</v>
      </c>
      <c r="I25" s="170"/>
      <c r="J25" s="172"/>
      <c r="K25" s="423"/>
      <c r="L25" s="170"/>
      <c r="M25" s="425"/>
      <c r="N25" s="419"/>
      <c r="O25" s="170"/>
      <c r="P25" s="172"/>
      <c r="Q25" s="385">
        <f t="shared" si="2"/>
        <v>2.8</v>
      </c>
      <c r="R25" s="381"/>
      <c r="S25" s="171">
        <v>44</v>
      </c>
    </row>
    <row r="26" spans="1:22" ht="12.75">
      <c r="A26" s="432" t="s">
        <v>192</v>
      </c>
      <c r="B26" s="419" t="e">
        <v>#N/A</v>
      </c>
      <c r="C26" s="170">
        <v>4.5</v>
      </c>
      <c r="D26" s="29" t="e">
        <f t="shared" si="3"/>
        <v>#N/A</v>
      </c>
      <c r="E26" s="29" t="e">
        <f t="shared" si="0"/>
        <v>#N/A</v>
      </c>
      <c r="F26" s="29">
        <v>4.5</v>
      </c>
      <c r="G26" s="29">
        <f>$D$199*F26</f>
        <v>3.8249999999999997</v>
      </c>
      <c r="H26" s="170"/>
      <c r="I26" s="170"/>
      <c r="J26" s="172"/>
      <c r="K26" s="423">
        <v>300</v>
      </c>
      <c r="L26" s="170">
        <v>1000</v>
      </c>
      <c r="M26" s="424">
        <f>AVERAGE(K26:L26)*0.00220462262</f>
        <v>1.433004703</v>
      </c>
      <c r="N26" s="418"/>
      <c r="O26" s="370"/>
      <c r="P26" s="378"/>
      <c r="Q26" s="385">
        <f t="shared" si="2"/>
        <v>1.433004703</v>
      </c>
      <c r="R26" s="381"/>
      <c r="S26" s="171">
        <v>2</v>
      </c>
      <c r="U26" s="705"/>
      <c r="V26" s="705"/>
    </row>
    <row r="27" spans="1:22" ht="12.75">
      <c r="A27" s="432" t="s">
        <v>193</v>
      </c>
      <c r="B27" s="419">
        <v>7.5</v>
      </c>
      <c r="C27" s="170" t="e">
        <v>#N/A</v>
      </c>
      <c r="D27" s="29" t="e">
        <f t="shared" si="3"/>
        <v>#N/A</v>
      </c>
      <c r="E27" s="29">
        <f>$D$198*B27</f>
        <v>5.57326382908241</v>
      </c>
      <c r="F27" s="29">
        <v>5.475</v>
      </c>
      <c r="G27" s="29">
        <f>$D$199*F27</f>
        <v>4.65375</v>
      </c>
      <c r="H27" s="170"/>
      <c r="I27" s="170"/>
      <c r="J27" s="172"/>
      <c r="K27" s="423">
        <v>1039.73403</v>
      </c>
      <c r="L27" s="170">
        <v>3000</v>
      </c>
      <c r="M27" s="424">
        <f>AVERAGE(K27:L27)*0.00220462262</f>
        <v>4.453044510660879</v>
      </c>
      <c r="N27" s="418"/>
      <c r="O27" s="370"/>
      <c r="P27" s="378"/>
      <c r="Q27" s="385">
        <f t="shared" si="2"/>
        <v>4.453044510660879</v>
      </c>
      <c r="R27" s="381" t="s">
        <v>251</v>
      </c>
      <c r="S27" s="171">
        <v>11</v>
      </c>
      <c r="U27" s="705"/>
      <c r="V27" s="705"/>
    </row>
    <row r="28" spans="1:19" ht="12.75">
      <c r="A28" s="432" t="s">
        <v>194</v>
      </c>
      <c r="B28" s="419">
        <v>4.25</v>
      </c>
      <c r="C28" s="170" t="e">
        <v>#N/A</v>
      </c>
      <c r="D28" s="29" t="e">
        <f t="shared" si="3"/>
        <v>#N/A</v>
      </c>
      <c r="E28" s="29">
        <f t="shared" si="0"/>
        <v>3.1581828364800324</v>
      </c>
      <c r="F28" s="29">
        <v>3.1025</v>
      </c>
      <c r="G28" s="29">
        <f>$D$199*F28</f>
        <v>2.637125</v>
      </c>
      <c r="H28" s="170"/>
      <c r="I28" s="170"/>
      <c r="J28" s="172"/>
      <c r="K28" s="423"/>
      <c r="L28" s="170"/>
      <c r="M28" s="425"/>
      <c r="N28" s="419"/>
      <c r="O28" s="170"/>
      <c r="P28" s="172"/>
      <c r="Q28" s="385">
        <f>G28</f>
        <v>2.637125</v>
      </c>
      <c r="R28" s="381" t="s">
        <v>251</v>
      </c>
      <c r="S28" s="171">
        <v>11</v>
      </c>
    </row>
    <row r="29" spans="1:22" ht="12.75">
      <c r="A29" s="432" t="s">
        <v>195</v>
      </c>
      <c r="B29" s="419" t="e">
        <v>#N/A</v>
      </c>
      <c r="C29" s="170" t="e">
        <v>#N/A</v>
      </c>
      <c r="D29" s="29" t="e">
        <f t="shared" si="3"/>
        <v>#N/A</v>
      </c>
      <c r="E29" s="29" t="e">
        <f>$D$198*B29</f>
        <v>#N/A</v>
      </c>
      <c r="F29" s="29"/>
      <c r="G29" s="29"/>
      <c r="H29" s="170">
        <f>2.607*1.25</f>
        <v>3.25875</v>
      </c>
      <c r="I29" s="170"/>
      <c r="J29" s="172"/>
      <c r="K29" s="423">
        <v>200</v>
      </c>
      <c r="L29" s="170">
        <v>200</v>
      </c>
      <c r="M29" s="424">
        <f>AVERAGE(K29:L29)*0.00220462262</f>
        <v>0.440924524</v>
      </c>
      <c r="N29" s="418"/>
      <c r="O29" s="370"/>
      <c r="P29" s="378"/>
      <c r="Q29" s="385">
        <f t="shared" si="2"/>
        <v>1.849837262</v>
      </c>
      <c r="R29" s="381"/>
      <c r="S29" s="171">
        <v>44</v>
      </c>
      <c r="U29" s="705"/>
      <c r="V29" s="705"/>
    </row>
    <row r="30" spans="1:22" ht="12.75">
      <c r="A30" s="432" t="s">
        <v>196</v>
      </c>
      <c r="B30" s="419" t="e">
        <v>#N/A</v>
      </c>
      <c r="C30" s="170">
        <v>2.2</v>
      </c>
      <c r="D30" s="29" t="e">
        <f t="shared" si="3"/>
        <v>#N/A</v>
      </c>
      <c r="E30" s="29" t="e">
        <f t="shared" si="0"/>
        <v>#N/A</v>
      </c>
      <c r="F30" s="29">
        <v>2.2</v>
      </c>
      <c r="G30" s="29">
        <f>$D$199*F30</f>
        <v>1.87</v>
      </c>
      <c r="H30" s="170"/>
      <c r="I30" s="170"/>
      <c r="J30" s="172"/>
      <c r="K30" s="423">
        <v>500</v>
      </c>
      <c r="L30" s="170">
        <v>600</v>
      </c>
      <c r="M30" s="424">
        <f>AVERAGE(K30:L30)*0.00220462262</f>
        <v>1.212542441</v>
      </c>
      <c r="N30" s="418"/>
      <c r="O30" s="370"/>
      <c r="P30" s="378">
        <f>1*2.20462262</f>
        <v>2.20462262</v>
      </c>
      <c r="Q30" s="385">
        <f t="shared" si="2"/>
        <v>1.7085825305</v>
      </c>
      <c r="R30" s="381"/>
      <c r="S30" s="171">
        <v>2</v>
      </c>
      <c r="U30" s="705"/>
      <c r="V30" s="705"/>
    </row>
    <row r="31" spans="1:25" ht="12.75">
      <c r="A31" s="432" t="s">
        <v>197</v>
      </c>
      <c r="B31" s="419" t="e">
        <v>#N/A</v>
      </c>
      <c r="C31" s="170" t="e">
        <v>#N/A</v>
      </c>
      <c r="D31" s="29" t="e">
        <f t="shared" si="3"/>
        <v>#N/A</v>
      </c>
      <c r="E31" s="29" t="e">
        <f t="shared" si="0"/>
        <v>#N/A</v>
      </c>
      <c r="F31" s="29"/>
      <c r="G31" s="29"/>
      <c r="H31" s="170">
        <v>2</v>
      </c>
      <c r="I31" s="170">
        <f>2.205*0.834</f>
        <v>1.83897</v>
      </c>
      <c r="J31" s="172"/>
      <c r="K31" s="423"/>
      <c r="L31" s="170"/>
      <c r="M31" s="425"/>
      <c r="N31" s="419"/>
      <c r="O31" s="170"/>
      <c r="P31" s="172"/>
      <c r="Q31" s="385">
        <f t="shared" si="2"/>
        <v>1.9194849999999999</v>
      </c>
      <c r="R31" s="381" t="s">
        <v>252</v>
      </c>
      <c r="S31" s="171" t="s">
        <v>487</v>
      </c>
      <c r="Y31" s="293"/>
    </row>
    <row r="32" spans="1:19" ht="12.75">
      <c r="A32" s="432" t="s">
        <v>198</v>
      </c>
      <c r="B32" s="419" t="e">
        <v>#N/A</v>
      </c>
      <c r="C32" s="170" t="e">
        <v>#N/A</v>
      </c>
      <c r="D32" s="29" t="e">
        <f t="shared" si="3"/>
        <v>#N/A</v>
      </c>
      <c r="E32" s="29" t="e">
        <f t="shared" si="0"/>
        <v>#N/A</v>
      </c>
      <c r="F32" s="29"/>
      <c r="G32" s="29"/>
      <c r="H32" s="170">
        <f>AVERAGE(Q26:Q31)</f>
        <v>2.33351316769348</v>
      </c>
      <c r="I32" s="170"/>
      <c r="J32" s="172"/>
      <c r="K32" s="423"/>
      <c r="L32" s="170"/>
      <c r="M32" s="425"/>
      <c r="N32" s="419"/>
      <c r="O32" s="170"/>
      <c r="P32" s="172"/>
      <c r="Q32" s="385">
        <f t="shared" si="2"/>
        <v>2.33351316769348</v>
      </c>
      <c r="R32" s="381" t="s">
        <v>600</v>
      </c>
      <c r="S32" s="171"/>
    </row>
    <row r="33" spans="1:19" ht="12.75">
      <c r="A33" s="432" t="s">
        <v>199</v>
      </c>
      <c r="B33" s="419" t="e">
        <v>#N/A</v>
      </c>
      <c r="C33" s="170">
        <v>50</v>
      </c>
      <c r="D33" s="29" t="e">
        <f t="shared" si="3"/>
        <v>#N/A</v>
      </c>
      <c r="E33" s="29" t="e">
        <f>$D$198*B33</f>
        <v>#N/A</v>
      </c>
      <c r="F33" s="29">
        <v>50</v>
      </c>
      <c r="G33" s="29">
        <f>$D$199*F33</f>
        <v>42.5</v>
      </c>
      <c r="H33" s="170"/>
      <c r="I33" s="170"/>
      <c r="J33" s="172"/>
      <c r="K33" s="423">
        <v>30000</v>
      </c>
      <c r="L33" s="170">
        <v>30000</v>
      </c>
      <c r="M33" s="424">
        <f aca="true" t="shared" si="5" ref="M33:M39">AVERAGE(K33:L33)*0.00220462262</f>
        <v>66.1386786</v>
      </c>
      <c r="N33" s="419"/>
      <c r="O33" s="170"/>
      <c r="P33" s="172"/>
      <c r="Q33" s="385">
        <f t="shared" si="2"/>
        <v>66.1386786</v>
      </c>
      <c r="R33" s="381"/>
      <c r="S33" s="171">
        <v>6</v>
      </c>
    </row>
    <row r="34" spans="1:19" ht="12.75">
      <c r="A34" s="432" t="s">
        <v>200</v>
      </c>
      <c r="B34" s="419" t="e">
        <v>#N/A</v>
      </c>
      <c r="C34" s="170" t="e">
        <v>#N/A</v>
      </c>
      <c r="D34" s="29" t="e">
        <f t="shared" si="3"/>
        <v>#N/A</v>
      </c>
      <c r="E34" s="29" t="e">
        <f t="shared" si="0"/>
        <v>#N/A</v>
      </c>
      <c r="F34" s="29"/>
      <c r="G34" s="29"/>
      <c r="H34" s="170">
        <v>10</v>
      </c>
      <c r="I34" s="170">
        <v>10</v>
      </c>
      <c r="J34" s="172"/>
      <c r="K34" s="423"/>
      <c r="L34" s="170"/>
      <c r="M34" s="425"/>
      <c r="N34" s="419"/>
      <c r="O34" s="170"/>
      <c r="P34" s="172"/>
      <c r="Q34" s="385">
        <f t="shared" si="2"/>
        <v>10</v>
      </c>
      <c r="R34" s="381" t="s">
        <v>253</v>
      </c>
      <c r="S34" s="171" t="s">
        <v>262</v>
      </c>
    </row>
    <row r="35" spans="1:19" ht="12.75">
      <c r="A35" s="432" t="s">
        <v>201</v>
      </c>
      <c r="B35" s="419" t="e">
        <v>#N/A</v>
      </c>
      <c r="C35" s="170" t="e">
        <v>#N/A</v>
      </c>
      <c r="D35" s="29" t="e">
        <f t="shared" si="3"/>
        <v>#N/A</v>
      </c>
      <c r="E35" s="29" t="e">
        <f t="shared" si="0"/>
        <v>#N/A</v>
      </c>
      <c r="F35" s="29"/>
      <c r="G35" s="29"/>
      <c r="H35" s="170">
        <v>3.5</v>
      </c>
      <c r="I35" s="170">
        <v>4</v>
      </c>
      <c r="J35" s="172">
        <f>(1.125+4.25)/2</f>
        <v>2.6875</v>
      </c>
      <c r="K35" s="423">
        <v>900</v>
      </c>
      <c r="L35" s="170">
        <v>1800</v>
      </c>
      <c r="M35" s="424">
        <f t="shared" si="5"/>
        <v>2.976240537</v>
      </c>
      <c r="N35" s="419"/>
      <c r="O35" s="170"/>
      <c r="P35" s="172"/>
      <c r="Q35" s="385">
        <f t="shared" si="2"/>
        <v>3.2909351342499997</v>
      </c>
      <c r="R35" s="381" t="s">
        <v>800</v>
      </c>
      <c r="S35" s="171" t="s">
        <v>0</v>
      </c>
    </row>
    <row r="36" spans="1:28" ht="12.75">
      <c r="A36" s="432" t="s">
        <v>202</v>
      </c>
      <c r="B36" s="419" t="e">
        <v>#N/A</v>
      </c>
      <c r="C36" s="170">
        <v>3</v>
      </c>
      <c r="D36" s="29" t="e">
        <f t="shared" si="3"/>
        <v>#N/A</v>
      </c>
      <c r="E36" s="29" t="e">
        <f t="shared" si="0"/>
        <v>#N/A</v>
      </c>
      <c r="F36" s="29">
        <v>3</v>
      </c>
      <c r="G36" s="29">
        <f>$D$199*F36</f>
        <v>2.55</v>
      </c>
      <c r="H36" s="170">
        <v>3</v>
      </c>
      <c r="I36" s="170">
        <v>0.75</v>
      </c>
      <c r="J36" s="172"/>
      <c r="K36" s="423">
        <v>499.88</v>
      </c>
      <c r="L36" s="170">
        <v>1034.59</v>
      </c>
      <c r="M36" s="424">
        <f t="shared" si="5"/>
        <v>1.6914636358556998</v>
      </c>
      <c r="N36" s="418">
        <v>1</v>
      </c>
      <c r="O36" s="370">
        <v>2</v>
      </c>
      <c r="P36" s="378">
        <f>AVERAGE(N36:O36)*2.20462262</f>
        <v>3.3069339299999996</v>
      </c>
      <c r="Q36" s="385">
        <f t="shared" si="2"/>
        <v>2.1870993914639247</v>
      </c>
      <c r="R36" s="381" t="s">
        <v>264</v>
      </c>
      <c r="S36" s="171" t="s">
        <v>265</v>
      </c>
      <c r="U36" s="705"/>
      <c r="V36" s="705"/>
      <c r="AA36" s="705"/>
      <c r="AB36" s="705"/>
    </row>
    <row r="37" spans="1:22" ht="12.75">
      <c r="A37" s="432" t="s">
        <v>203</v>
      </c>
      <c r="B37" s="419">
        <v>7</v>
      </c>
      <c r="C37" s="170" t="e">
        <v>#N/A</v>
      </c>
      <c r="D37" s="29" t="e">
        <f t="shared" si="3"/>
        <v>#N/A</v>
      </c>
      <c r="E37" s="29">
        <f>$D$198*B37</f>
        <v>5.201712907143582</v>
      </c>
      <c r="F37" s="29">
        <v>5.11</v>
      </c>
      <c r="G37" s="29">
        <f>$D$199*F37</f>
        <v>4.343500000000001</v>
      </c>
      <c r="H37" s="170">
        <v>2</v>
      </c>
      <c r="I37" s="170"/>
      <c r="J37" s="172"/>
      <c r="K37" s="423">
        <v>1500</v>
      </c>
      <c r="L37" s="170">
        <v>1500</v>
      </c>
      <c r="M37" s="424">
        <f t="shared" si="5"/>
        <v>3.30693393</v>
      </c>
      <c r="N37" s="418"/>
      <c r="O37" s="370"/>
      <c r="P37" s="378"/>
      <c r="Q37" s="385">
        <f t="shared" si="2"/>
        <v>2.653466965</v>
      </c>
      <c r="R37" s="381"/>
      <c r="S37" s="171" t="s">
        <v>1</v>
      </c>
      <c r="U37" s="705"/>
      <c r="V37" s="705"/>
    </row>
    <row r="38" spans="1:22" ht="12.75">
      <c r="A38" s="432" t="s">
        <v>204</v>
      </c>
      <c r="B38" s="419">
        <v>5</v>
      </c>
      <c r="C38" s="170">
        <v>3</v>
      </c>
      <c r="D38" s="29">
        <f t="shared" si="3"/>
        <v>0.6</v>
      </c>
      <c r="E38" s="29">
        <f t="shared" si="0"/>
        <v>3.7155092193882733</v>
      </c>
      <c r="F38" s="29">
        <v>3.325</v>
      </c>
      <c r="G38" s="29">
        <f>$D$199*F38</f>
        <v>2.82625</v>
      </c>
      <c r="H38" s="170">
        <v>3</v>
      </c>
      <c r="I38" s="170">
        <v>0.75</v>
      </c>
      <c r="J38" s="172"/>
      <c r="K38" s="423">
        <v>1297.992031</v>
      </c>
      <c r="L38" s="170">
        <v>1524.016264</v>
      </c>
      <c r="M38" s="424">
        <f t="shared" si="5"/>
        <v>3.1107316604923163</v>
      </c>
      <c r="N38" s="418"/>
      <c r="O38" s="370"/>
      <c r="P38" s="378"/>
      <c r="Q38" s="385">
        <f t="shared" si="2"/>
        <v>2.2869105534974388</v>
      </c>
      <c r="R38" s="381" t="s">
        <v>264</v>
      </c>
      <c r="S38" s="171" t="s">
        <v>266</v>
      </c>
      <c r="U38" s="705"/>
      <c r="V38" s="705"/>
    </row>
    <row r="39" spans="1:22" ht="12.75">
      <c r="A39" s="432" t="s">
        <v>205</v>
      </c>
      <c r="B39" s="419" t="e">
        <v>#N/A</v>
      </c>
      <c r="C39" s="170">
        <v>46</v>
      </c>
      <c r="D39" s="29" t="e">
        <f t="shared" si="3"/>
        <v>#N/A</v>
      </c>
      <c r="E39" s="29" t="e">
        <f t="shared" si="0"/>
        <v>#N/A</v>
      </c>
      <c r="F39" s="29">
        <v>46</v>
      </c>
      <c r="G39" s="29">
        <f>$D$199*F39</f>
        <v>39.1</v>
      </c>
      <c r="H39" s="170">
        <v>8</v>
      </c>
      <c r="I39" s="170"/>
      <c r="J39" s="172"/>
      <c r="K39" s="423">
        <v>2360.65</v>
      </c>
      <c r="L39" s="170">
        <v>3656.43</v>
      </c>
      <c r="M39" s="424">
        <f t="shared" si="5"/>
        <v>6.6326953371748</v>
      </c>
      <c r="N39" s="418"/>
      <c r="O39" s="370"/>
      <c r="P39" s="378"/>
      <c r="Q39" s="385">
        <f t="shared" si="2"/>
        <v>7.3163476685874</v>
      </c>
      <c r="R39" s="381"/>
      <c r="S39" s="171" t="s">
        <v>2</v>
      </c>
      <c r="U39" s="705"/>
      <c r="V39" s="705"/>
    </row>
    <row r="40" spans="1:19" ht="12.75">
      <c r="A40" s="432" t="s">
        <v>206</v>
      </c>
      <c r="B40" s="419">
        <v>72</v>
      </c>
      <c r="C40" s="170" t="e">
        <v>#N/A</v>
      </c>
      <c r="D40" s="29" t="e">
        <f t="shared" si="3"/>
        <v>#N/A</v>
      </c>
      <c r="E40" s="29">
        <f>$D$198*B40</f>
        <v>53.50333275919114</v>
      </c>
      <c r="F40" s="29">
        <v>52.56</v>
      </c>
      <c r="G40" s="29"/>
      <c r="H40" s="170">
        <v>75</v>
      </c>
      <c r="I40" s="170">
        <v>6</v>
      </c>
      <c r="J40" s="172">
        <v>7.5</v>
      </c>
      <c r="K40" s="423"/>
      <c r="L40" s="170"/>
      <c r="M40" s="425"/>
      <c r="N40" s="419"/>
      <c r="O40" s="170"/>
      <c r="P40" s="172"/>
      <c r="Q40" s="385">
        <f t="shared" si="2"/>
        <v>29.5</v>
      </c>
      <c r="R40" s="381" t="s">
        <v>416</v>
      </c>
      <c r="S40" s="171" t="s">
        <v>567</v>
      </c>
    </row>
    <row r="41" spans="1:19" ht="12.75">
      <c r="A41" s="432" t="s">
        <v>207</v>
      </c>
      <c r="B41" s="419" t="e">
        <v>#N/A</v>
      </c>
      <c r="C41" s="170" t="e">
        <v>#N/A</v>
      </c>
      <c r="D41" s="29" t="e">
        <f t="shared" si="3"/>
        <v>#N/A</v>
      </c>
      <c r="E41" s="29" t="e">
        <f t="shared" si="0"/>
        <v>#N/A</v>
      </c>
      <c r="F41" s="29"/>
      <c r="G41" s="29"/>
      <c r="H41" s="170">
        <v>0.625</v>
      </c>
      <c r="I41" s="170"/>
      <c r="J41" s="172"/>
      <c r="K41" s="423"/>
      <c r="L41" s="170"/>
      <c r="M41" s="425"/>
      <c r="N41" s="419"/>
      <c r="O41" s="170"/>
      <c r="P41" s="172"/>
      <c r="Q41" s="385">
        <f t="shared" si="2"/>
        <v>0.625</v>
      </c>
      <c r="R41" s="381" t="s">
        <v>387</v>
      </c>
      <c r="S41" s="171">
        <v>6</v>
      </c>
    </row>
    <row r="42" spans="1:19" ht="12.75">
      <c r="A42" s="432" t="s">
        <v>208</v>
      </c>
      <c r="B42" s="419" t="e">
        <v>#N/A</v>
      </c>
      <c r="C42" s="170" t="e">
        <v>#N/A</v>
      </c>
      <c r="D42" s="29" t="e">
        <f t="shared" si="3"/>
        <v>#N/A</v>
      </c>
      <c r="E42" s="29" t="e">
        <f t="shared" si="0"/>
        <v>#N/A</v>
      </c>
      <c r="F42" s="29"/>
      <c r="G42" s="29"/>
      <c r="H42" s="170">
        <v>0.625</v>
      </c>
      <c r="I42" s="170"/>
      <c r="J42" s="172"/>
      <c r="K42" s="423">
        <v>64</v>
      </c>
      <c r="L42" s="170">
        <v>400</v>
      </c>
      <c r="M42" s="424">
        <f aca="true" t="shared" si="6" ref="M42:M55">AVERAGE(K42:L42)*0.00220462262</f>
        <v>0.51147244784</v>
      </c>
      <c r="N42" s="418"/>
      <c r="O42" s="370"/>
      <c r="P42" s="378"/>
      <c r="Q42" s="385">
        <f t="shared" si="2"/>
        <v>0.5682362239200001</v>
      </c>
      <c r="R42" s="381" t="s">
        <v>387</v>
      </c>
      <c r="S42" s="171">
        <v>6</v>
      </c>
    </row>
    <row r="43" spans="1:19" ht="12.75">
      <c r="A43" s="432" t="s">
        <v>209</v>
      </c>
      <c r="B43" s="419" t="e">
        <v>#N/A</v>
      </c>
      <c r="C43" s="170" t="e">
        <v>#N/A</v>
      </c>
      <c r="D43" s="29" t="e">
        <f t="shared" si="3"/>
        <v>#N/A</v>
      </c>
      <c r="E43" s="29" t="e">
        <f t="shared" si="0"/>
        <v>#N/A</v>
      </c>
      <c r="F43" s="29"/>
      <c r="G43" s="29"/>
      <c r="H43" s="170">
        <v>0.625</v>
      </c>
      <c r="I43" s="170"/>
      <c r="J43" s="172"/>
      <c r="K43" s="423">
        <v>65</v>
      </c>
      <c r="L43" s="170">
        <v>91</v>
      </c>
      <c r="M43" s="424">
        <f t="shared" si="6"/>
        <v>0.17196056435999998</v>
      </c>
      <c r="N43" s="418"/>
      <c r="O43" s="370"/>
      <c r="P43" s="378"/>
      <c r="Q43" s="385">
        <f t="shared" si="2"/>
        <v>0.39848028218</v>
      </c>
      <c r="R43" s="381" t="s">
        <v>387</v>
      </c>
      <c r="S43" s="171">
        <v>6</v>
      </c>
    </row>
    <row r="44" spans="1:19" ht="12.75">
      <c r="A44" s="432" t="s">
        <v>210</v>
      </c>
      <c r="B44" s="419">
        <v>5.25</v>
      </c>
      <c r="C44" s="170" t="e">
        <v>#N/A</v>
      </c>
      <c r="D44" s="29" t="e">
        <f t="shared" si="3"/>
        <v>#N/A</v>
      </c>
      <c r="E44" s="29">
        <f>$D$198*B44</f>
        <v>3.901284680357687</v>
      </c>
      <c r="F44" s="29">
        <v>3.8325</v>
      </c>
      <c r="G44" s="29">
        <f>$D$199*F44</f>
        <v>3.257625</v>
      </c>
      <c r="H44" s="170"/>
      <c r="I44" s="170"/>
      <c r="J44" s="172"/>
      <c r="K44" s="423">
        <v>190</v>
      </c>
      <c r="L44" s="170">
        <v>1866</v>
      </c>
      <c r="M44" s="424">
        <f t="shared" si="6"/>
        <v>2.26635205336</v>
      </c>
      <c r="N44" s="418"/>
      <c r="O44" s="370"/>
      <c r="P44" s="378"/>
      <c r="Q44" s="385">
        <f t="shared" si="2"/>
        <v>2.26635205336</v>
      </c>
      <c r="R44" s="381"/>
      <c r="S44" s="171">
        <v>23</v>
      </c>
    </row>
    <row r="45" spans="1:25" ht="12.75">
      <c r="A45" s="432" t="s">
        <v>211</v>
      </c>
      <c r="B45" s="419">
        <v>105</v>
      </c>
      <c r="C45" s="170">
        <v>100</v>
      </c>
      <c r="D45" s="29">
        <f t="shared" si="3"/>
        <v>0.9523809523809523</v>
      </c>
      <c r="E45" s="29">
        <f t="shared" si="0"/>
        <v>78.02569360715374</v>
      </c>
      <c r="F45" s="29">
        <v>88.325</v>
      </c>
      <c r="G45" s="29">
        <f>$D$199*F45</f>
        <v>75.07625</v>
      </c>
      <c r="H45" s="170">
        <v>3.113</v>
      </c>
      <c r="I45" s="170"/>
      <c r="J45" s="172"/>
      <c r="K45" s="423">
        <v>9072</v>
      </c>
      <c r="L45" s="170">
        <v>13608</v>
      </c>
      <c r="M45" s="424">
        <f t="shared" si="6"/>
        <v>25.000420510799998</v>
      </c>
      <c r="N45" s="419"/>
      <c r="O45" s="170"/>
      <c r="P45" s="172"/>
      <c r="Q45" s="385">
        <f t="shared" si="2"/>
        <v>14.056710255399999</v>
      </c>
      <c r="R45" s="381"/>
      <c r="S45" s="171" t="s">
        <v>551</v>
      </c>
      <c r="Y45" s="293"/>
    </row>
    <row r="46" spans="1:25" ht="12.75">
      <c r="A46" s="432" t="s">
        <v>212</v>
      </c>
      <c r="B46" s="419" t="e">
        <v>#N/A</v>
      </c>
      <c r="C46" s="170">
        <v>3</v>
      </c>
      <c r="D46" s="29" t="e">
        <f t="shared" si="3"/>
        <v>#N/A</v>
      </c>
      <c r="E46" s="29" t="e">
        <f>$D$198*B46</f>
        <v>#N/A</v>
      </c>
      <c r="F46" s="29">
        <v>3</v>
      </c>
      <c r="G46" s="29">
        <f>$D$199*F46</f>
        <v>2.55</v>
      </c>
      <c r="H46" s="170">
        <v>1.5</v>
      </c>
      <c r="I46" s="170">
        <v>0.772</v>
      </c>
      <c r="J46" s="172"/>
      <c r="K46" s="423">
        <v>389</v>
      </c>
      <c r="L46" s="170">
        <v>454</v>
      </c>
      <c r="M46" s="424">
        <f t="shared" si="6"/>
        <v>0.9292484343299999</v>
      </c>
      <c r="N46" s="418"/>
      <c r="O46" s="370"/>
      <c r="P46" s="378"/>
      <c r="Q46" s="385">
        <f t="shared" si="2"/>
        <v>1.0670828114433333</v>
      </c>
      <c r="R46" s="381"/>
      <c r="S46" s="171" t="s">
        <v>552</v>
      </c>
      <c r="U46" s="705"/>
      <c r="V46" s="705"/>
      <c r="Y46" s="293"/>
    </row>
    <row r="47" spans="1:22" ht="12.75">
      <c r="A47" s="432" t="s">
        <v>213</v>
      </c>
      <c r="B47" s="419" t="e">
        <v>#N/A</v>
      </c>
      <c r="C47" s="170" t="e">
        <v>#N/A</v>
      </c>
      <c r="D47" s="29" t="e">
        <f t="shared" si="3"/>
        <v>#N/A</v>
      </c>
      <c r="E47" s="29" t="e">
        <f t="shared" si="0"/>
        <v>#N/A</v>
      </c>
      <c r="F47" s="29"/>
      <c r="G47" s="29"/>
      <c r="H47" s="170">
        <v>0.372</v>
      </c>
      <c r="I47" s="170"/>
      <c r="J47" s="172"/>
      <c r="K47" s="423">
        <v>100</v>
      </c>
      <c r="L47" s="170">
        <v>750</v>
      </c>
      <c r="M47" s="424">
        <f t="shared" si="6"/>
        <v>0.9369646134999999</v>
      </c>
      <c r="N47" s="418"/>
      <c r="O47" s="370"/>
      <c r="P47" s="378"/>
      <c r="Q47" s="385">
        <f t="shared" si="2"/>
        <v>0.65448230675</v>
      </c>
      <c r="R47" s="381"/>
      <c r="S47" s="171">
        <v>53</v>
      </c>
      <c r="U47" s="705"/>
      <c r="V47" s="705"/>
    </row>
    <row r="48" spans="1:22" ht="12.75">
      <c r="A48" s="432" t="s">
        <v>214</v>
      </c>
      <c r="B48" s="419">
        <v>90</v>
      </c>
      <c r="C48" s="170" t="e">
        <v>#N/A</v>
      </c>
      <c r="D48" s="29" t="e">
        <f t="shared" si="3"/>
        <v>#N/A</v>
      </c>
      <c r="E48" s="29">
        <f t="shared" si="0"/>
        <v>66.87916594898891</v>
      </c>
      <c r="F48" s="29">
        <v>65.7</v>
      </c>
      <c r="G48" s="29"/>
      <c r="H48" s="170">
        <v>11.5</v>
      </c>
      <c r="I48" s="170">
        <v>8.708</v>
      </c>
      <c r="J48" s="172">
        <v>8</v>
      </c>
      <c r="K48" s="423">
        <v>10000</v>
      </c>
      <c r="L48" s="170">
        <v>10000</v>
      </c>
      <c r="M48" s="424">
        <f t="shared" si="6"/>
        <v>22.0462262</v>
      </c>
      <c r="N48" s="418"/>
      <c r="O48" s="370"/>
      <c r="P48" s="378"/>
      <c r="Q48" s="385">
        <f t="shared" si="2"/>
        <v>12.56355655</v>
      </c>
      <c r="R48" s="381" t="s">
        <v>268</v>
      </c>
      <c r="S48" s="171" t="s">
        <v>568</v>
      </c>
      <c r="U48" s="705"/>
      <c r="V48" s="705"/>
    </row>
    <row r="49" spans="1:22" ht="12.75">
      <c r="A49" s="432" t="s">
        <v>215</v>
      </c>
      <c r="B49" s="419">
        <v>8.875</v>
      </c>
      <c r="C49" s="170" t="e">
        <v>#N/A</v>
      </c>
      <c r="D49" s="29" t="e">
        <f t="shared" si="3"/>
        <v>#N/A</v>
      </c>
      <c r="E49" s="29">
        <f t="shared" si="0"/>
        <v>6.595028864414185</v>
      </c>
      <c r="F49" s="29">
        <v>6.47875</v>
      </c>
      <c r="G49" s="29">
        <f>$D$199*F49</f>
        <v>5.506937499999999</v>
      </c>
      <c r="H49" s="170">
        <v>2</v>
      </c>
      <c r="I49" s="170">
        <v>1.022</v>
      </c>
      <c r="J49" s="172">
        <v>1.5</v>
      </c>
      <c r="K49" s="423">
        <v>907</v>
      </c>
      <c r="L49" s="170">
        <v>2722</v>
      </c>
      <c r="M49" s="424">
        <f t="shared" si="6"/>
        <v>4.0002877439899995</v>
      </c>
      <c r="N49" s="418"/>
      <c r="O49" s="370"/>
      <c r="P49" s="378"/>
      <c r="Q49" s="385">
        <f t="shared" si="2"/>
        <v>2.1305719359974997</v>
      </c>
      <c r="R49" s="381"/>
      <c r="S49" s="171" t="s">
        <v>568</v>
      </c>
      <c r="U49" s="705"/>
      <c r="V49" s="705"/>
    </row>
    <row r="50" spans="1:22" ht="12.75">
      <c r="A50" s="432" t="s">
        <v>216</v>
      </c>
      <c r="B50" s="419" t="e">
        <v>#N/A</v>
      </c>
      <c r="C50" s="170" t="e">
        <v>#N/A</v>
      </c>
      <c r="D50" s="29" t="e">
        <f t="shared" si="3"/>
        <v>#N/A</v>
      </c>
      <c r="E50" s="29" t="e">
        <f>$D$198*B50</f>
        <v>#N/A</v>
      </c>
      <c r="F50" s="29"/>
      <c r="G50" s="29"/>
      <c r="H50" s="170">
        <v>0.657</v>
      </c>
      <c r="I50" s="170">
        <f>0.232*2.205</f>
        <v>0.51156</v>
      </c>
      <c r="J50" s="172"/>
      <c r="K50" s="423">
        <v>162.08</v>
      </c>
      <c r="L50" s="170">
        <v>349.22</v>
      </c>
      <c r="M50" s="424">
        <f t="shared" si="6"/>
        <v>0.563611772803</v>
      </c>
      <c r="N50" s="418"/>
      <c r="O50" s="370"/>
      <c r="P50" s="378"/>
      <c r="Q50" s="385">
        <f t="shared" si="2"/>
        <v>0.5773905909343334</v>
      </c>
      <c r="R50" s="381"/>
      <c r="S50" s="171" t="s">
        <v>498</v>
      </c>
      <c r="U50" s="705"/>
      <c r="V50" s="705"/>
    </row>
    <row r="51" spans="1:22" ht="12.75">
      <c r="A51" s="432" t="s">
        <v>217</v>
      </c>
      <c r="B51" s="419" t="e">
        <v>#N/A</v>
      </c>
      <c r="C51" s="170" t="e">
        <v>#N/A</v>
      </c>
      <c r="D51" s="29" t="e">
        <f t="shared" si="3"/>
        <v>#N/A</v>
      </c>
      <c r="E51" s="29" t="e">
        <f>$D$198*B51</f>
        <v>#N/A</v>
      </c>
      <c r="F51" s="29"/>
      <c r="G51" s="29"/>
      <c r="H51" s="170">
        <f>611200000*2.205/5950000000</f>
        <v>0.22650352941176471</v>
      </c>
      <c r="I51" s="170"/>
      <c r="J51" s="172"/>
      <c r="K51" s="423">
        <v>233.555809</v>
      </c>
      <c r="L51" s="170">
        <v>233.555809</v>
      </c>
      <c r="M51" s="424">
        <f t="shared" si="6"/>
        <v>0.5149024195537996</v>
      </c>
      <c r="N51" s="418"/>
      <c r="O51" s="370"/>
      <c r="P51" s="378"/>
      <c r="Q51" s="385">
        <f t="shared" si="2"/>
        <v>0.3707029744827821</v>
      </c>
      <c r="R51" s="381"/>
      <c r="S51" s="171">
        <v>19</v>
      </c>
      <c r="U51" s="705"/>
      <c r="V51" s="705"/>
    </row>
    <row r="52" spans="1:19" ht="12.75">
      <c r="A52" s="432" t="s">
        <v>218</v>
      </c>
      <c r="B52" s="419" t="e">
        <v>#N/A</v>
      </c>
      <c r="C52" s="170">
        <v>12</v>
      </c>
      <c r="D52" s="29" t="e">
        <f t="shared" si="3"/>
        <v>#N/A</v>
      </c>
      <c r="E52" s="29" t="e">
        <f aca="true" t="shared" si="7" ref="E52:E62">$D$198*B52</f>
        <v>#N/A</v>
      </c>
      <c r="F52" s="29">
        <v>12</v>
      </c>
      <c r="G52" s="29">
        <f>$D$199*F52</f>
        <v>10.2</v>
      </c>
      <c r="H52" s="170">
        <v>3</v>
      </c>
      <c r="I52" s="170"/>
      <c r="J52" s="172"/>
      <c r="K52" s="423">
        <v>20.321015</v>
      </c>
      <c r="L52" s="170">
        <v>2000</v>
      </c>
      <c r="M52" s="424">
        <f t="shared" si="6"/>
        <v>2.2270227046651794</v>
      </c>
      <c r="N52" s="419"/>
      <c r="O52" s="170"/>
      <c r="P52" s="378">
        <f>1*2.20462262</f>
        <v>2.20462262</v>
      </c>
      <c r="Q52" s="385">
        <f t="shared" si="2"/>
        <v>2.4772151082217264</v>
      </c>
      <c r="R52" s="381" t="s">
        <v>271</v>
      </c>
      <c r="S52" s="171">
        <v>17</v>
      </c>
    </row>
    <row r="53" spans="1:22" ht="12.75">
      <c r="A53" s="432" t="s">
        <v>219</v>
      </c>
      <c r="B53" s="419" t="e">
        <v>#N/A</v>
      </c>
      <c r="C53" s="170" t="e">
        <v>#N/A</v>
      </c>
      <c r="D53" s="29" t="e">
        <f t="shared" si="3"/>
        <v>#N/A</v>
      </c>
      <c r="E53" s="29" t="e">
        <f t="shared" si="7"/>
        <v>#N/A</v>
      </c>
      <c r="F53" s="29"/>
      <c r="G53" s="29"/>
      <c r="H53" s="170">
        <v>2</v>
      </c>
      <c r="I53" s="170"/>
      <c r="J53" s="172"/>
      <c r="K53" s="423">
        <v>109.283739</v>
      </c>
      <c r="L53" s="170">
        <v>1283.731336</v>
      </c>
      <c r="M53" s="424">
        <f t="shared" si="6"/>
        <v>1.5355362721729982</v>
      </c>
      <c r="N53" s="418">
        <v>0.5</v>
      </c>
      <c r="O53" s="370">
        <v>1.3</v>
      </c>
      <c r="P53" s="378">
        <f>AVERAGE(N53:O53)*2.20462262</f>
        <v>1.984160358</v>
      </c>
      <c r="Q53" s="385">
        <f t="shared" si="2"/>
        <v>1.8398988767243327</v>
      </c>
      <c r="R53" s="381" t="s">
        <v>272</v>
      </c>
      <c r="S53" s="171">
        <v>5</v>
      </c>
      <c r="U53" s="705"/>
      <c r="V53" s="705"/>
    </row>
    <row r="54" spans="1:22" ht="12.75">
      <c r="A54" s="432" t="s">
        <v>220</v>
      </c>
      <c r="B54" s="419" t="e">
        <v>#N/A</v>
      </c>
      <c r="C54" s="170" t="e">
        <v>#N/A</v>
      </c>
      <c r="D54" s="29" t="e">
        <f t="shared" si="3"/>
        <v>#N/A</v>
      </c>
      <c r="E54" s="29" t="e">
        <f t="shared" si="7"/>
        <v>#N/A</v>
      </c>
      <c r="F54" s="29"/>
      <c r="G54" s="29"/>
      <c r="H54" s="170">
        <v>0.935</v>
      </c>
      <c r="I54" s="170">
        <v>0.92</v>
      </c>
      <c r="J54" s="172"/>
      <c r="K54" s="423">
        <v>1400</v>
      </c>
      <c r="L54" s="170">
        <v>1400</v>
      </c>
      <c r="M54" s="424">
        <f t="shared" si="6"/>
        <v>3.0864716679999997</v>
      </c>
      <c r="N54" s="418"/>
      <c r="O54" s="370"/>
      <c r="P54" s="378"/>
      <c r="Q54" s="385">
        <f t="shared" si="2"/>
        <v>1.6471572226666666</v>
      </c>
      <c r="R54" s="381" t="s">
        <v>395</v>
      </c>
      <c r="S54" s="171" t="s">
        <v>553</v>
      </c>
      <c r="U54" s="705"/>
      <c r="V54" s="705"/>
    </row>
    <row r="55" spans="1:22" ht="12.75">
      <c r="A55" s="432" t="s">
        <v>725</v>
      </c>
      <c r="B55" s="419"/>
      <c r="C55" s="170"/>
      <c r="D55" s="29"/>
      <c r="E55" s="29"/>
      <c r="F55" s="29"/>
      <c r="G55" s="29"/>
      <c r="H55" s="170">
        <v>1.57</v>
      </c>
      <c r="I55" s="170"/>
      <c r="J55" s="172"/>
      <c r="K55" s="423">
        <v>1500</v>
      </c>
      <c r="L55" s="170">
        <v>1500</v>
      </c>
      <c r="M55" s="424">
        <f t="shared" si="6"/>
        <v>3.30693393</v>
      </c>
      <c r="N55" s="418"/>
      <c r="O55" s="370"/>
      <c r="P55" s="378"/>
      <c r="Q55" s="385">
        <f t="shared" si="2"/>
        <v>2.438466965</v>
      </c>
      <c r="R55" s="381" t="s">
        <v>731</v>
      </c>
      <c r="S55" s="171">
        <v>67</v>
      </c>
      <c r="U55" s="705"/>
      <c r="V55" s="705"/>
    </row>
    <row r="56" spans="1:19" ht="12.75">
      <c r="A56" s="432" t="s">
        <v>717</v>
      </c>
      <c r="B56" s="419"/>
      <c r="C56" s="170"/>
      <c r="D56" s="29"/>
      <c r="E56" s="29"/>
      <c r="F56" s="29"/>
      <c r="G56" s="29"/>
      <c r="H56" s="170">
        <v>1</v>
      </c>
      <c r="I56" s="170"/>
      <c r="J56" s="172"/>
      <c r="K56" s="423"/>
      <c r="L56" s="170"/>
      <c r="M56" s="425"/>
      <c r="N56" s="419"/>
      <c r="O56" s="170"/>
      <c r="P56" s="172"/>
      <c r="Q56" s="385">
        <f t="shared" si="2"/>
        <v>1</v>
      </c>
      <c r="R56" s="381" t="s">
        <v>726</v>
      </c>
      <c r="S56" s="171">
        <v>67</v>
      </c>
    </row>
    <row r="57" spans="1:19" ht="12.75">
      <c r="A57" s="432" t="s">
        <v>718</v>
      </c>
      <c r="B57" s="419"/>
      <c r="C57" s="170"/>
      <c r="D57" s="29"/>
      <c r="E57" s="29"/>
      <c r="F57" s="29"/>
      <c r="G57" s="29"/>
      <c r="H57" s="170">
        <v>2.5</v>
      </c>
      <c r="I57" s="170"/>
      <c r="J57" s="172"/>
      <c r="K57" s="423"/>
      <c r="L57" s="170"/>
      <c r="M57" s="425"/>
      <c r="N57" s="419"/>
      <c r="O57" s="170"/>
      <c r="P57" s="172"/>
      <c r="Q57" s="385">
        <f t="shared" si="2"/>
        <v>2.5</v>
      </c>
      <c r="R57" s="381" t="s">
        <v>727</v>
      </c>
      <c r="S57" s="171">
        <v>69</v>
      </c>
    </row>
    <row r="58" spans="1:19" ht="12.75">
      <c r="A58" s="432" t="s">
        <v>729</v>
      </c>
      <c r="B58" s="419"/>
      <c r="C58" s="170"/>
      <c r="D58" s="29"/>
      <c r="E58" s="29"/>
      <c r="F58" s="29"/>
      <c r="G58" s="29"/>
      <c r="H58" s="170">
        <v>7</v>
      </c>
      <c r="I58" s="170"/>
      <c r="J58" s="172"/>
      <c r="K58" s="423"/>
      <c r="L58" s="170"/>
      <c r="M58" s="425"/>
      <c r="N58" s="419"/>
      <c r="O58" s="170"/>
      <c r="P58" s="172"/>
      <c r="Q58" s="385">
        <f t="shared" si="2"/>
        <v>7</v>
      </c>
      <c r="R58" s="381" t="s">
        <v>730</v>
      </c>
      <c r="S58" s="171">
        <v>69</v>
      </c>
    </row>
    <row r="59" spans="1:19" ht="12.75">
      <c r="A59" s="432" t="s">
        <v>221</v>
      </c>
      <c r="B59" s="419">
        <v>46.5</v>
      </c>
      <c r="C59" s="170">
        <v>35</v>
      </c>
      <c r="D59" s="29">
        <f t="shared" si="3"/>
        <v>0.7526881720430108</v>
      </c>
      <c r="E59" s="29">
        <f>$D$198*B59</f>
        <v>34.55423574031094</v>
      </c>
      <c r="F59" s="29">
        <v>34.4725</v>
      </c>
      <c r="G59" s="29">
        <f>$D$199*F59</f>
        <v>29.301624999999998</v>
      </c>
      <c r="H59" s="170"/>
      <c r="I59" s="170"/>
      <c r="J59" s="172"/>
      <c r="K59" s="423">
        <v>2200</v>
      </c>
      <c r="L59" s="170">
        <v>4500</v>
      </c>
      <c r="M59" s="424">
        <f aca="true" t="shared" si="8" ref="M59:M64">AVERAGE(K59:L59)*0.00220462262</f>
        <v>7.3854857769999995</v>
      </c>
      <c r="N59" s="419"/>
      <c r="O59" s="170"/>
      <c r="P59" s="172"/>
      <c r="Q59" s="385">
        <f t="shared" si="2"/>
        <v>7.3854857769999995</v>
      </c>
      <c r="R59" s="381"/>
      <c r="S59" s="171" t="s">
        <v>273</v>
      </c>
    </row>
    <row r="60" spans="1:19" ht="12.75">
      <c r="A60" s="432" t="s">
        <v>222</v>
      </c>
      <c r="B60" s="419" t="e">
        <v>#N/A</v>
      </c>
      <c r="C60" s="170">
        <v>11</v>
      </c>
      <c r="D60" s="29" t="e">
        <f t="shared" si="3"/>
        <v>#N/A</v>
      </c>
      <c r="E60" s="29" t="e">
        <f t="shared" si="7"/>
        <v>#N/A</v>
      </c>
      <c r="F60" s="29">
        <v>11</v>
      </c>
      <c r="G60" s="29"/>
      <c r="H60" s="170">
        <f>(0.6+0.8)/2*2.205</f>
        <v>1.5434999999999999</v>
      </c>
      <c r="I60" s="170"/>
      <c r="J60" s="172"/>
      <c r="K60" s="423">
        <v>227</v>
      </c>
      <c r="L60" s="170">
        <v>1000</v>
      </c>
      <c r="M60" s="424">
        <f t="shared" si="8"/>
        <v>1.3525359773699999</v>
      </c>
      <c r="N60" s="419">
        <v>0.23</v>
      </c>
      <c r="O60" s="170">
        <v>0.9</v>
      </c>
      <c r="P60" s="378">
        <f>AVERAGE(N60:O60)*2.20462262</f>
        <v>1.2456117803</v>
      </c>
      <c r="Q60" s="385">
        <f t="shared" si="2"/>
        <v>1.3805492525566665</v>
      </c>
      <c r="R60" s="381"/>
      <c r="S60" s="171" t="s">
        <v>142</v>
      </c>
    </row>
    <row r="61" spans="1:19" ht="12.75">
      <c r="A61" s="432" t="s">
        <v>223</v>
      </c>
      <c r="B61" s="419">
        <v>24</v>
      </c>
      <c r="C61" s="170" t="e">
        <v>#N/A</v>
      </c>
      <c r="D61" s="29" t="e">
        <f t="shared" si="3"/>
        <v>#N/A</v>
      </c>
      <c r="E61" s="29">
        <f t="shared" si="7"/>
        <v>17.83444425306371</v>
      </c>
      <c r="F61" s="29">
        <v>17.52</v>
      </c>
      <c r="G61" s="29">
        <f>$D$199*F61</f>
        <v>14.892</v>
      </c>
      <c r="H61" s="170">
        <v>1.785</v>
      </c>
      <c r="I61" s="170"/>
      <c r="J61" s="172"/>
      <c r="K61" s="423">
        <v>2118.6</v>
      </c>
      <c r="L61" s="170">
        <v>2889</v>
      </c>
      <c r="M61" s="424">
        <f t="shared" si="8"/>
        <v>5.5199341159560005</v>
      </c>
      <c r="N61" s="419"/>
      <c r="O61" s="170"/>
      <c r="P61" s="172"/>
      <c r="Q61" s="385">
        <f t="shared" si="2"/>
        <v>3.6524670579780003</v>
      </c>
      <c r="R61" s="381" t="s">
        <v>251</v>
      </c>
      <c r="S61" s="171" t="s">
        <v>549</v>
      </c>
    </row>
    <row r="62" spans="1:19" ht="12.75">
      <c r="A62" s="432" t="s">
        <v>224</v>
      </c>
      <c r="B62" s="419">
        <v>10.5</v>
      </c>
      <c r="C62" s="170" t="e">
        <v>#N/A</v>
      </c>
      <c r="D62" s="29" t="e">
        <f t="shared" si="3"/>
        <v>#N/A</v>
      </c>
      <c r="E62" s="29">
        <f t="shared" si="7"/>
        <v>7.802569360715374</v>
      </c>
      <c r="F62" s="29">
        <v>7.665</v>
      </c>
      <c r="G62" s="29">
        <f>$D$199*F62</f>
        <v>6.51525</v>
      </c>
      <c r="H62" s="170">
        <v>1.548</v>
      </c>
      <c r="I62" s="170"/>
      <c r="J62" s="172"/>
      <c r="K62" s="423">
        <v>2000</v>
      </c>
      <c r="L62" s="170">
        <v>2000</v>
      </c>
      <c r="M62" s="424">
        <f t="shared" si="8"/>
        <v>4.40924524</v>
      </c>
      <c r="N62" s="419"/>
      <c r="O62" s="170"/>
      <c r="P62" s="172"/>
      <c r="Q62" s="385">
        <f t="shared" si="2"/>
        <v>2.97862262</v>
      </c>
      <c r="R62" s="381" t="s">
        <v>251</v>
      </c>
      <c r="S62" s="171" t="s">
        <v>549</v>
      </c>
    </row>
    <row r="63" spans="1:19" ht="12.75">
      <c r="A63" s="432" t="s">
        <v>225</v>
      </c>
      <c r="B63" s="419" t="e">
        <v>#N/A</v>
      </c>
      <c r="C63" s="170" t="e">
        <v>#N/A</v>
      </c>
      <c r="D63" s="29" t="e">
        <f t="shared" si="3"/>
        <v>#N/A</v>
      </c>
      <c r="E63" s="29" t="e">
        <f>$D$198*B63</f>
        <v>#N/A</v>
      </c>
      <c r="F63" s="29"/>
      <c r="G63" s="29"/>
      <c r="H63" s="170">
        <v>10</v>
      </c>
      <c r="I63" s="170">
        <v>1</v>
      </c>
      <c r="J63" s="172"/>
      <c r="K63" s="423">
        <v>338.8</v>
      </c>
      <c r="L63" s="170">
        <v>462</v>
      </c>
      <c r="M63" s="424">
        <f t="shared" si="8"/>
        <v>0.8827308970479999</v>
      </c>
      <c r="N63" s="419"/>
      <c r="O63" s="170"/>
      <c r="P63" s="172"/>
      <c r="Q63" s="385">
        <f t="shared" si="2"/>
        <v>3.9609102990159997</v>
      </c>
      <c r="R63" s="381" t="s">
        <v>387</v>
      </c>
      <c r="S63" s="171" t="s">
        <v>554</v>
      </c>
    </row>
    <row r="64" spans="1:19" ht="12.75">
      <c r="A64" s="432" t="s">
        <v>226</v>
      </c>
      <c r="B64" s="419" t="e">
        <v>#N/A</v>
      </c>
      <c r="C64" s="170" t="e">
        <v>#N/A</v>
      </c>
      <c r="D64" s="29" t="e">
        <f t="shared" si="3"/>
        <v>#N/A</v>
      </c>
      <c r="E64" s="29" t="e">
        <f>$D$198*B64</f>
        <v>#N/A</v>
      </c>
      <c r="F64" s="29"/>
      <c r="G64" s="29"/>
      <c r="H64" s="170">
        <v>5.3</v>
      </c>
      <c r="I64" s="170"/>
      <c r="J64" s="172"/>
      <c r="K64" s="423">
        <v>300</v>
      </c>
      <c r="L64" s="170">
        <v>1814</v>
      </c>
      <c r="M64" s="424">
        <f t="shared" si="8"/>
        <v>2.33028610934</v>
      </c>
      <c r="N64" s="419"/>
      <c r="O64" s="170"/>
      <c r="P64" s="172"/>
      <c r="Q64" s="385">
        <f t="shared" si="2"/>
        <v>3.81514305467</v>
      </c>
      <c r="R64" s="381"/>
      <c r="S64" s="171">
        <v>37</v>
      </c>
    </row>
    <row r="65" spans="1:19" ht="12.75">
      <c r="A65" s="432" t="s">
        <v>227</v>
      </c>
      <c r="B65" s="419">
        <v>7.375</v>
      </c>
      <c r="C65" s="170" t="e">
        <v>#N/A</v>
      </c>
      <c r="D65" s="29" t="e">
        <f t="shared" si="3"/>
        <v>#N/A</v>
      </c>
      <c r="E65" s="29">
        <f>$D$198*B65</f>
        <v>5.480376098597703</v>
      </c>
      <c r="F65" s="29">
        <v>5.38375</v>
      </c>
      <c r="G65" s="29">
        <f>$D$199*F65</f>
        <v>4.5761875</v>
      </c>
      <c r="H65" s="170">
        <v>1.281</v>
      </c>
      <c r="I65" s="170"/>
      <c r="J65" s="172"/>
      <c r="K65" s="423"/>
      <c r="L65" s="170"/>
      <c r="M65" s="425"/>
      <c r="N65" s="419"/>
      <c r="O65" s="170"/>
      <c r="P65" s="172"/>
      <c r="Q65" s="385">
        <f t="shared" si="2"/>
        <v>1.281</v>
      </c>
      <c r="R65" s="381" t="s">
        <v>251</v>
      </c>
      <c r="S65" s="171" t="s">
        <v>549</v>
      </c>
    </row>
    <row r="66" spans="1:19" ht="12.75">
      <c r="A66" s="432" t="s">
        <v>228</v>
      </c>
      <c r="B66" s="419" t="e">
        <v>#N/A</v>
      </c>
      <c r="C66" s="170" t="e">
        <v>#N/A</v>
      </c>
      <c r="D66" s="29" t="e">
        <f t="shared" si="3"/>
        <v>#N/A</v>
      </c>
      <c r="E66" s="29" t="e">
        <f>$D$198*B66</f>
        <v>#N/A</v>
      </c>
      <c r="F66" s="29"/>
      <c r="G66" s="29"/>
      <c r="H66" s="170">
        <v>1.217</v>
      </c>
      <c r="I66" s="170"/>
      <c r="J66" s="172"/>
      <c r="K66" s="423"/>
      <c r="L66" s="170"/>
      <c r="M66" s="425"/>
      <c r="N66" s="419"/>
      <c r="O66" s="170"/>
      <c r="P66" s="172"/>
      <c r="Q66" s="385">
        <f t="shared" si="2"/>
        <v>1.217</v>
      </c>
      <c r="R66" s="381" t="s">
        <v>397</v>
      </c>
      <c r="S66" s="171">
        <v>53</v>
      </c>
    </row>
    <row r="67" spans="1:19" ht="12.75">
      <c r="A67" s="432" t="s">
        <v>229</v>
      </c>
      <c r="B67" s="419">
        <v>126</v>
      </c>
      <c r="C67" s="170">
        <v>100</v>
      </c>
      <c r="D67" s="29">
        <f t="shared" si="3"/>
        <v>0.7936507936507936</v>
      </c>
      <c r="E67" s="29">
        <f>$D$198*B67</f>
        <v>93.63083232858449</v>
      </c>
      <c r="F67" s="29">
        <v>95.99</v>
      </c>
      <c r="G67" s="29"/>
      <c r="H67" s="170">
        <v>25</v>
      </c>
      <c r="I67" s="170"/>
      <c r="J67" s="172"/>
      <c r="K67" s="423"/>
      <c r="L67" s="170"/>
      <c r="M67" s="425"/>
      <c r="N67" s="419">
        <v>3.5</v>
      </c>
      <c r="O67" s="170">
        <v>4.5</v>
      </c>
      <c r="P67" s="378">
        <f>AVERAGE(N67:O67)*2.20462262</f>
        <v>8.81849048</v>
      </c>
      <c r="Q67" s="385">
        <f t="shared" si="2"/>
        <v>16.90924524</v>
      </c>
      <c r="R67" s="381"/>
      <c r="S67" s="171" t="s">
        <v>419</v>
      </c>
    </row>
    <row r="68" spans="1:19" ht="12.75">
      <c r="A68" s="432" t="s">
        <v>647</v>
      </c>
      <c r="B68" s="419"/>
      <c r="C68" s="170"/>
      <c r="D68" s="29"/>
      <c r="E68" s="29"/>
      <c r="F68" s="29"/>
      <c r="G68" s="29"/>
      <c r="H68" s="170"/>
      <c r="I68" s="170"/>
      <c r="J68" s="172"/>
      <c r="K68" s="423">
        <v>4500</v>
      </c>
      <c r="L68" s="170">
        <v>4500</v>
      </c>
      <c r="M68" s="424">
        <f aca="true" t="shared" si="9" ref="M68:M73">AVERAGE(K68:L68)*0.00220462262</f>
        <v>9.92080179</v>
      </c>
      <c r="N68" s="419"/>
      <c r="O68" s="170"/>
      <c r="P68" s="378"/>
      <c r="Q68" s="385">
        <f aca="true" t="shared" si="10" ref="Q68:Q115">AVERAGE(P68,M68,H68:J68)</f>
        <v>9.92080179</v>
      </c>
      <c r="R68" s="381"/>
      <c r="S68" s="171"/>
    </row>
    <row r="69" spans="1:19" ht="12.75">
      <c r="A69" s="432" t="s">
        <v>230</v>
      </c>
      <c r="B69" s="419">
        <v>126</v>
      </c>
      <c r="C69" s="170">
        <v>50</v>
      </c>
      <c r="D69" s="29">
        <f t="shared" si="3"/>
        <v>0.3968253968253968</v>
      </c>
      <c r="E69" s="29">
        <f aca="true" t="shared" si="11" ref="E69:E75">$D$198*B69</f>
        <v>93.63083232858449</v>
      </c>
      <c r="F69" s="29">
        <v>70.99</v>
      </c>
      <c r="G69" s="29"/>
      <c r="H69" s="170">
        <v>15</v>
      </c>
      <c r="I69" s="170">
        <v>20</v>
      </c>
      <c r="J69" s="172"/>
      <c r="K69" s="423">
        <v>8341</v>
      </c>
      <c r="L69" s="170">
        <v>8341</v>
      </c>
      <c r="M69" s="424">
        <f t="shared" si="9"/>
        <v>18.38875727342</v>
      </c>
      <c r="N69" s="419">
        <v>7</v>
      </c>
      <c r="O69" s="170">
        <v>18</v>
      </c>
      <c r="P69" s="378">
        <f>AVERAGE(N69:O69)*2.20462262</f>
        <v>27.557782749999998</v>
      </c>
      <c r="Q69" s="385">
        <f t="shared" si="10"/>
        <v>20.236635005855</v>
      </c>
      <c r="R69" s="381"/>
      <c r="S69" s="171" t="s">
        <v>569</v>
      </c>
    </row>
    <row r="70" spans="1:19" ht="12.75">
      <c r="A70" s="432" t="s">
        <v>231</v>
      </c>
      <c r="B70" s="419">
        <v>20</v>
      </c>
      <c r="C70" s="170" t="e">
        <v>#N/A</v>
      </c>
      <c r="D70" s="29" t="e">
        <f t="shared" si="3"/>
        <v>#N/A</v>
      </c>
      <c r="E70" s="29">
        <f t="shared" si="11"/>
        <v>14.862036877553093</v>
      </c>
      <c r="F70" s="29">
        <v>14.6</v>
      </c>
      <c r="G70" s="29">
        <f>$D$199*F70</f>
        <v>12.41</v>
      </c>
      <c r="H70" s="170">
        <v>15</v>
      </c>
      <c r="I70" s="170"/>
      <c r="J70" s="172"/>
      <c r="K70" s="423">
        <v>3182</v>
      </c>
      <c r="L70" s="170">
        <v>8182</v>
      </c>
      <c r="M70" s="424">
        <f t="shared" si="9"/>
        <v>12.52666572684</v>
      </c>
      <c r="N70" s="419"/>
      <c r="O70" s="170"/>
      <c r="P70" s="172"/>
      <c r="Q70" s="385">
        <f t="shared" si="10"/>
        <v>13.76333286342</v>
      </c>
      <c r="R70" s="381" t="s">
        <v>422</v>
      </c>
      <c r="S70" s="171" t="s">
        <v>421</v>
      </c>
    </row>
    <row r="71" spans="1:25" ht="12.75">
      <c r="A71" s="432" t="s">
        <v>232</v>
      </c>
      <c r="B71" s="419">
        <v>6.4</v>
      </c>
      <c r="C71" s="170" t="e">
        <v>#N/A</v>
      </c>
      <c r="D71" s="29" t="e">
        <f t="shared" si="3"/>
        <v>#N/A</v>
      </c>
      <c r="E71" s="29">
        <f t="shared" si="11"/>
        <v>4.75585180081699</v>
      </c>
      <c r="F71" s="29">
        <v>4.672</v>
      </c>
      <c r="G71" s="29">
        <f>$D$199*F71</f>
        <v>3.9711999999999996</v>
      </c>
      <c r="H71" s="170"/>
      <c r="I71" s="170"/>
      <c r="J71" s="172"/>
      <c r="K71" s="423">
        <v>1364</v>
      </c>
      <c r="L71" s="170">
        <v>2273</v>
      </c>
      <c r="M71" s="424">
        <f t="shared" si="9"/>
        <v>4.00910623447</v>
      </c>
      <c r="N71" s="419"/>
      <c r="O71" s="170"/>
      <c r="P71" s="172"/>
      <c r="Q71" s="385">
        <f t="shared" si="10"/>
        <v>4.00910623447</v>
      </c>
      <c r="R71" s="381" t="s">
        <v>251</v>
      </c>
      <c r="S71" s="171">
        <v>11</v>
      </c>
      <c r="Y71" s="293"/>
    </row>
    <row r="72" spans="1:19" ht="12.75">
      <c r="A72" s="432" t="s">
        <v>233</v>
      </c>
      <c r="B72" s="419" t="e">
        <v>#N/A</v>
      </c>
      <c r="C72" s="170" t="e">
        <v>#N/A</v>
      </c>
      <c r="D72" s="29" t="e">
        <f t="shared" si="3"/>
        <v>#N/A</v>
      </c>
      <c r="E72" s="29" t="e">
        <f t="shared" si="11"/>
        <v>#N/A</v>
      </c>
      <c r="F72" s="29"/>
      <c r="G72" s="29"/>
      <c r="H72" s="170">
        <v>5</v>
      </c>
      <c r="I72" s="170"/>
      <c r="J72" s="172"/>
      <c r="K72" s="423">
        <v>2300</v>
      </c>
      <c r="L72" s="170">
        <v>5000</v>
      </c>
      <c r="M72" s="424">
        <f t="shared" si="9"/>
        <v>8.046872562999999</v>
      </c>
      <c r="N72" s="419">
        <v>2</v>
      </c>
      <c r="O72" s="170">
        <v>4.5</v>
      </c>
      <c r="P72" s="378">
        <f>AVERAGE(N72:O72)*2.20462262</f>
        <v>7.165023515</v>
      </c>
      <c r="Q72" s="385">
        <f t="shared" si="10"/>
        <v>6.737298692666666</v>
      </c>
      <c r="R72" s="381"/>
      <c r="S72" s="171" t="s">
        <v>566</v>
      </c>
    </row>
    <row r="73" spans="1:19" ht="12.75">
      <c r="A73" s="432" t="s">
        <v>234</v>
      </c>
      <c r="B73" s="419">
        <v>20</v>
      </c>
      <c r="C73" s="170">
        <v>18.5</v>
      </c>
      <c r="D73" s="29">
        <f t="shared" si="3"/>
        <v>0.925</v>
      </c>
      <c r="E73" s="29">
        <f t="shared" si="11"/>
        <v>14.862036877553093</v>
      </c>
      <c r="F73" s="29">
        <v>16.55</v>
      </c>
      <c r="G73" s="29">
        <f>$D$199*F73</f>
        <v>14.0675</v>
      </c>
      <c r="H73" s="170">
        <v>9</v>
      </c>
      <c r="I73" s="170"/>
      <c r="J73" s="172"/>
      <c r="K73" s="423">
        <v>6000</v>
      </c>
      <c r="L73" s="170">
        <v>6000</v>
      </c>
      <c r="M73" s="424">
        <f t="shared" si="9"/>
        <v>13.22773572</v>
      </c>
      <c r="N73" s="419">
        <v>2</v>
      </c>
      <c r="O73" s="170">
        <v>5</v>
      </c>
      <c r="P73" s="378">
        <f>AVERAGE(N73:O73)*2.20462262</f>
        <v>7.716179169999999</v>
      </c>
      <c r="Q73" s="385">
        <f t="shared" si="10"/>
        <v>9.981304963333333</v>
      </c>
      <c r="R73" s="381" t="s">
        <v>542</v>
      </c>
      <c r="S73" s="171" t="s">
        <v>570</v>
      </c>
    </row>
    <row r="74" spans="1:19" ht="12.75">
      <c r="A74" s="432" t="s">
        <v>235</v>
      </c>
      <c r="B74" s="419" t="e">
        <v>#N/A</v>
      </c>
      <c r="C74" s="170" t="e">
        <v>#N/A</v>
      </c>
      <c r="D74" s="29" t="e">
        <f t="shared" si="3"/>
        <v>#N/A</v>
      </c>
      <c r="E74" s="29" t="e">
        <f t="shared" si="11"/>
        <v>#N/A</v>
      </c>
      <c r="F74" s="29"/>
      <c r="G74" s="29"/>
      <c r="H74" s="170">
        <v>0.2755731922398589</v>
      </c>
      <c r="I74" s="170">
        <v>0.085</v>
      </c>
      <c r="J74" s="172"/>
      <c r="K74" s="423">
        <v>120</v>
      </c>
      <c r="L74" s="170">
        <v>183</v>
      </c>
      <c r="M74" s="424">
        <f>AVERAGE(K74:L74)*0.00220462262</f>
        <v>0.33400032693</v>
      </c>
      <c r="N74" s="418"/>
      <c r="O74" s="370"/>
      <c r="P74" s="378"/>
      <c r="Q74" s="385">
        <f t="shared" si="10"/>
        <v>0.23152450638995292</v>
      </c>
      <c r="R74" s="381" t="s">
        <v>545</v>
      </c>
      <c r="S74" s="171" t="s">
        <v>555</v>
      </c>
    </row>
    <row r="75" spans="1:22" ht="12.75">
      <c r="A75" s="432" t="s">
        <v>236</v>
      </c>
      <c r="B75" s="419" t="e">
        <v>#N/A</v>
      </c>
      <c r="C75" s="170" t="e">
        <v>#N/A</v>
      </c>
      <c r="D75" s="29" t="e">
        <f t="shared" si="3"/>
        <v>#N/A</v>
      </c>
      <c r="E75" s="29" t="e">
        <f t="shared" si="11"/>
        <v>#N/A</v>
      </c>
      <c r="F75" s="29"/>
      <c r="G75" s="29"/>
      <c r="H75" s="170">
        <v>0.2755731922398589</v>
      </c>
      <c r="I75" s="170">
        <v>0.1040625</v>
      </c>
      <c r="J75" s="172"/>
      <c r="K75" s="423">
        <v>100</v>
      </c>
      <c r="L75" s="170">
        <v>100</v>
      </c>
      <c r="M75" s="424">
        <f>AVERAGE(K75:L75)*0.00220462262</f>
        <v>0.220462262</v>
      </c>
      <c r="N75" s="418"/>
      <c r="O75" s="370"/>
      <c r="P75" s="378"/>
      <c r="Q75" s="385">
        <f t="shared" si="10"/>
        <v>0.20003265141328627</v>
      </c>
      <c r="R75" s="381" t="s">
        <v>427</v>
      </c>
      <c r="S75" s="171" t="s">
        <v>428</v>
      </c>
      <c r="U75" s="705"/>
      <c r="V75" s="705"/>
    </row>
    <row r="76" spans="1:19" ht="12.75">
      <c r="A76" s="432" t="s">
        <v>696</v>
      </c>
      <c r="B76" s="419"/>
      <c r="C76" s="170"/>
      <c r="D76" s="29"/>
      <c r="E76" s="29"/>
      <c r="F76" s="29"/>
      <c r="G76" s="29"/>
      <c r="H76" s="170">
        <v>0.875</v>
      </c>
      <c r="I76" s="170"/>
      <c r="J76" s="172"/>
      <c r="K76" s="423"/>
      <c r="L76" s="170"/>
      <c r="M76" s="425"/>
      <c r="N76" s="419"/>
      <c r="O76" s="170"/>
      <c r="P76" s="172"/>
      <c r="Q76" s="385">
        <f t="shared" si="10"/>
        <v>0.875</v>
      </c>
      <c r="R76" s="381"/>
      <c r="S76" s="171"/>
    </row>
    <row r="77" spans="1:19" ht="12.75">
      <c r="A77" s="432" t="s">
        <v>762</v>
      </c>
      <c r="B77" s="419"/>
      <c r="C77" s="170">
        <f>5*2.2</f>
        <v>11</v>
      </c>
      <c r="D77" s="29"/>
      <c r="E77" s="29"/>
      <c r="F77" s="29">
        <f>C77</f>
        <v>11</v>
      </c>
      <c r="G77" s="29">
        <f>$D$199*F77</f>
        <v>9.35</v>
      </c>
      <c r="H77" s="170"/>
      <c r="I77" s="170"/>
      <c r="J77" s="172"/>
      <c r="K77" s="423"/>
      <c r="L77" s="170"/>
      <c r="M77" s="425"/>
      <c r="N77" s="419"/>
      <c r="O77" s="170"/>
      <c r="P77" s="172"/>
      <c r="Q77" s="385">
        <f>G77</f>
        <v>9.35</v>
      </c>
      <c r="R77" s="381"/>
      <c r="S77" s="171">
        <v>72</v>
      </c>
    </row>
    <row r="78" spans="1:19" ht="12.75">
      <c r="A78" s="432" t="s">
        <v>237</v>
      </c>
      <c r="B78" s="419" t="e">
        <v>#N/A</v>
      </c>
      <c r="C78" s="170">
        <v>4</v>
      </c>
      <c r="D78" s="29" t="e">
        <f t="shared" si="3"/>
        <v>#N/A</v>
      </c>
      <c r="E78" s="29" t="e">
        <f aca="true" t="shared" si="12" ref="E78:E90">$D$198*B78</f>
        <v>#N/A</v>
      </c>
      <c r="F78" s="29">
        <v>4</v>
      </c>
      <c r="G78" s="29">
        <f>$D$199*F78</f>
        <v>3.4</v>
      </c>
      <c r="H78" s="170">
        <v>2.9</v>
      </c>
      <c r="I78" s="170">
        <v>0.424</v>
      </c>
      <c r="J78" s="172"/>
      <c r="K78" s="423">
        <v>750</v>
      </c>
      <c r="L78" s="170">
        <v>750</v>
      </c>
      <c r="M78" s="424">
        <f>AVERAGE(K78:L78)*0.00220462262</f>
        <v>1.653466965</v>
      </c>
      <c r="N78" s="419"/>
      <c r="O78" s="170"/>
      <c r="P78" s="172"/>
      <c r="Q78" s="385">
        <f t="shared" si="10"/>
        <v>1.6591556550000002</v>
      </c>
      <c r="R78" s="381" t="s">
        <v>429</v>
      </c>
      <c r="S78" s="171" t="s">
        <v>556</v>
      </c>
    </row>
    <row r="79" spans="1:19" ht="12.75">
      <c r="A79" s="432" t="s">
        <v>238</v>
      </c>
      <c r="B79" s="419" t="e">
        <v>#N/A</v>
      </c>
      <c r="C79" s="170">
        <v>8</v>
      </c>
      <c r="D79" s="29" t="e">
        <f t="shared" si="3"/>
        <v>#N/A</v>
      </c>
      <c r="E79" s="29" t="e">
        <f t="shared" si="12"/>
        <v>#N/A</v>
      </c>
      <c r="F79" s="29">
        <v>8</v>
      </c>
      <c r="G79" s="29">
        <f>$D$199*F79</f>
        <v>6.8</v>
      </c>
      <c r="H79" s="170">
        <v>2</v>
      </c>
      <c r="I79" s="170">
        <v>0.431</v>
      </c>
      <c r="J79" s="172"/>
      <c r="K79" s="423"/>
      <c r="L79" s="170"/>
      <c r="M79" s="425"/>
      <c r="N79" s="419"/>
      <c r="O79" s="170"/>
      <c r="P79" s="172"/>
      <c r="Q79" s="385">
        <f t="shared" si="10"/>
        <v>1.2155</v>
      </c>
      <c r="R79" s="381"/>
      <c r="S79" s="171" t="s">
        <v>557</v>
      </c>
    </row>
    <row r="80" spans="1:19" ht="12.75">
      <c r="A80" s="432" t="s">
        <v>239</v>
      </c>
      <c r="B80" s="419" t="e">
        <v>#N/A</v>
      </c>
      <c r="C80" s="170" t="e">
        <v>#N/A</v>
      </c>
      <c r="D80" s="29" t="e">
        <f t="shared" si="3"/>
        <v>#N/A</v>
      </c>
      <c r="E80" s="29" t="e">
        <f t="shared" si="12"/>
        <v>#N/A</v>
      </c>
      <c r="F80" s="29"/>
      <c r="G80" s="29"/>
      <c r="H80" s="170">
        <v>37.5</v>
      </c>
      <c r="I80" s="170"/>
      <c r="J80" s="172"/>
      <c r="K80" s="423"/>
      <c r="L80" s="170"/>
      <c r="M80" s="425"/>
      <c r="N80" s="419"/>
      <c r="O80" s="170"/>
      <c r="P80" s="172"/>
      <c r="Q80" s="385">
        <f t="shared" si="10"/>
        <v>37.5</v>
      </c>
      <c r="R80" s="381"/>
      <c r="S80" s="171">
        <v>39</v>
      </c>
    </row>
    <row r="81" spans="1:19" ht="12.75">
      <c r="A81" s="432" t="s">
        <v>240</v>
      </c>
      <c r="B81" s="419" t="e">
        <v>#N/A</v>
      </c>
      <c r="C81" s="170">
        <v>30</v>
      </c>
      <c r="D81" s="29" t="e">
        <f t="shared" si="3"/>
        <v>#N/A</v>
      </c>
      <c r="E81" s="29" t="e">
        <f t="shared" si="12"/>
        <v>#N/A</v>
      </c>
      <c r="F81" s="29">
        <v>30</v>
      </c>
      <c r="G81" s="29">
        <f>$D$199*F81</f>
        <v>25.5</v>
      </c>
      <c r="H81" s="170">
        <v>3</v>
      </c>
      <c r="I81" s="170"/>
      <c r="J81" s="172"/>
      <c r="K81" s="423"/>
      <c r="L81" s="170"/>
      <c r="M81" s="425"/>
      <c r="N81" s="419"/>
      <c r="O81" s="170"/>
      <c r="P81" s="172"/>
      <c r="Q81" s="385">
        <f t="shared" si="10"/>
        <v>3</v>
      </c>
      <c r="R81" s="381" t="s">
        <v>434</v>
      </c>
      <c r="S81" s="171" t="s">
        <v>433</v>
      </c>
    </row>
    <row r="82" spans="1:19" ht="12.75">
      <c r="A82" s="432" t="s">
        <v>241</v>
      </c>
      <c r="B82" s="419" t="e">
        <v>#N/A</v>
      </c>
      <c r="C82" s="170">
        <v>16</v>
      </c>
      <c r="D82" s="29" t="e">
        <f t="shared" si="3"/>
        <v>#N/A</v>
      </c>
      <c r="E82" s="29" t="e">
        <f t="shared" si="12"/>
        <v>#N/A</v>
      </c>
      <c r="F82" s="29">
        <v>16</v>
      </c>
      <c r="G82" s="29">
        <f>$D$199*F82</f>
        <v>13.6</v>
      </c>
      <c r="H82" s="170">
        <v>3</v>
      </c>
      <c r="I82" s="170">
        <v>0.419</v>
      </c>
      <c r="J82" s="172"/>
      <c r="K82" s="423"/>
      <c r="L82" s="170"/>
      <c r="M82" s="425"/>
      <c r="N82" s="419"/>
      <c r="O82" s="170"/>
      <c r="P82" s="172"/>
      <c r="Q82" s="385">
        <f t="shared" si="10"/>
        <v>1.7095</v>
      </c>
      <c r="R82" s="381"/>
      <c r="S82" s="171" t="s">
        <v>558</v>
      </c>
    </row>
    <row r="83" spans="1:19" ht="12.75">
      <c r="A83" s="432" t="s">
        <v>546</v>
      </c>
      <c r="B83" s="419" t="e">
        <v>#N/A</v>
      </c>
      <c r="C83" s="170" t="e">
        <v>#N/A</v>
      </c>
      <c r="D83" s="29" t="e">
        <f t="shared" si="3"/>
        <v>#N/A</v>
      </c>
      <c r="E83" s="29" t="e">
        <f t="shared" si="12"/>
        <v>#N/A</v>
      </c>
      <c r="F83" s="29"/>
      <c r="G83" s="29"/>
      <c r="H83" s="170">
        <v>1</v>
      </c>
      <c r="I83" s="170">
        <v>0.447</v>
      </c>
      <c r="J83" s="172"/>
      <c r="K83" s="423"/>
      <c r="L83" s="170"/>
      <c r="M83" s="425"/>
      <c r="N83" s="419"/>
      <c r="O83" s="170"/>
      <c r="P83" s="172"/>
      <c r="Q83" s="385">
        <f t="shared" si="10"/>
        <v>0.7235</v>
      </c>
      <c r="R83" s="381"/>
      <c r="S83" s="171" t="s">
        <v>559</v>
      </c>
    </row>
    <row r="84" spans="1:19" ht="12.75">
      <c r="A84" s="432" t="s">
        <v>122</v>
      </c>
      <c r="B84" s="419" t="e">
        <v>#N/A</v>
      </c>
      <c r="C84" s="170" t="e">
        <v>#N/A</v>
      </c>
      <c r="D84" s="29" t="e">
        <f t="shared" si="3"/>
        <v>#N/A</v>
      </c>
      <c r="E84" s="29" t="e">
        <f t="shared" si="12"/>
        <v>#N/A</v>
      </c>
      <c r="F84" s="29"/>
      <c r="G84" s="29"/>
      <c r="H84" s="170">
        <v>4</v>
      </c>
      <c r="I84" s="170">
        <f>1.87*2.2046</f>
        <v>4.1226020000000005</v>
      </c>
      <c r="J84" s="172"/>
      <c r="K84" s="423"/>
      <c r="L84" s="170"/>
      <c r="M84" s="425"/>
      <c r="N84" s="419"/>
      <c r="O84" s="170"/>
      <c r="P84" s="172"/>
      <c r="Q84" s="385">
        <f t="shared" si="10"/>
        <v>4.061301</v>
      </c>
      <c r="R84" s="381" t="s">
        <v>435</v>
      </c>
      <c r="S84" s="171" t="s">
        <v>796</v>
      </c>
    </row>
    <row r="85" spans="1:19" ht="12.75">
      <c r="A85" s="432" t="s">
        <v>123</v>
      </c>
      <c r="B85" s="419" t="e">
        <v>#N/A</v>
      </c>
      <c r="C85" s="170" t="e">
        <v>#N/A</v>
      </c>
      <c r="D85" s="29" t="e">
        <f t="shared" si="3"/>
        <v>#N/A</v>
      </c>
      <c r="E85" s="29" t="e">
        <f t="shared" si="12"/>
        <v>#N/A</v>
      </c>
      <c r="F85" s="29"/>
      <c r="G85" s="29"/>
      <c r="H85" s="170">
        <v>4</v>
      </c>
      <c r="I85" s="170">
        <v>1.5</v>
      </c>
      <c r="J85" s="172">
        <f>1.87*2.2046</f>
        <v>4.1226020000000005</v>
      </c>
      <c r="K85" s="423"/>
      <c r="L85" s="170"/>
      <c r="M85" s="425"/>
      <c r="N85" s="419"/>
      <c r="O85" s="170"/>
      <c r="P85" s="172"/>
      <c r="Q85" s="385">
        <f t="shared" si="10"/>
        <v>3.2075340000000003</v>
      </c>
      <c r="R85" s="381" t="s">
        <v>435</v>
      </c>
      <c r="S85" s="171" t="s">
        <v>797</v>
      </c>
    </row>
    <row r="86" spans="1:19" ht="12.75">
      <c r="A86" s="432" t="s">
        <v>124</v>
      </c>
      <c r="B86" s="419" t="e">
        <v>#N/A</v>
      </c>
      <c r="C86" s="170" t="e">
        <v>#N/A</v>
      </c>
      <c r="D86" s="29" t="e">
        <f aca="true" t="shared" si="13" ref="D86:D165">C86/B86</f>
        <v>#N/A</v>
      </c>
      <c r="E86" s="29" t="e">
        <f t="shared" si="12"/>
        <v>#N/A</v>
      </c>
      <c r="F86" s="29"/>
      <c r="G86" s="29"/>
      <c r="H86" s="170">
        <v>25</v>
      </c>
      <c r="I86" s="170">
        <v>15</v>
      </c>
      <c r="J86" s="172">
        <f>2.2046*15.071</f>
        <v>33.2255266</v>
      </c>
      <c r="K86" s="423"/>
      <c r="L86" s="170"/>
      <c r="M86" s="425"/>
      <c r="N86" s="419"/>
      <c r="O86" s="170"/>
      <c r="P86" s="172"/>
      <c r="Q86" s="385">
        <f t="shared" si="10"/>
        <v>24.408508866666665</v>
      </c>
      <c r="R86" s="381"/>
      <c r="S86" s="171" t="s">
        <v>490</v>
      </c>
    </row>
    <row r="87" spans="1:19" ht="12.75">
      <c r="A87" s="432" t="s">
        <v>125</v>
      </c>
      <c r="B87" s="419" t="e">
        <v>#N/A</v>
      </c>
      <c r="C87" s="170" t="e">
        <v>#N/A</v>
      </c>
      <c r="D87" s="29" t="e">
        <f t="shared" si="13"/>
        <v>#N/A</v>
      </c>
      <c r="E87" s="29" t="e">
        <f t="shared" si="12"/>
        <v>#N/A</v>
      </c>
      <c r="F87" s="29"/>
      <c r="G87" s="29"/>
      <c r="H87" s="170">
        <v>35</v>
      </c>
      <c r="I87" s="170"/>
      <c r="J87" s="172"/>
      <c r="K87" s="423"/>
      <c r="L87" s="170"/>
      <c r="M87" s="425"/>
      <c r="N87" s="419"/>
      <c r="O87" s="170"/>
      <c r="P87" s="172"/>
      <c r="Q87" s="385">
        <f t="shared" si="10"/>
        <v>35</v>
      </c>
      <c r="R87" s="381" t="s">
        <v>601</v>
      </c>
      <c r="S87" s="171">
        <v>3</v>
      </c>
    </row>
    <row r="88" spans="1:19" ht="12.75">
      <c r="A88" s="432" t="s">
        <v>126</v>
      </c>
      <c r="B88" s="419" t="e">
        <v>#N/A</v>
      </c>
      <c r="C88" s="170" t="e">
        <v>#N/A</v>
      </c>
      <c r="D88" s="29" t="e">
        <f t="shared" si="13"/>
        <v>#N/A</v>
      </c>
      <c r="E88" s="29" t="e">
        <f t="shared" si="12"/>
        <v>#N/A</v>
      </c>
      <c r="F88" s="29"/>
      <c r="G88" s="29"/>
      <c r="H88" s="170">
        <v>4</v>
      </c>
      <c r="I88" s="170">
        <v>1.267</v>
      </c>
      <c r="J88" s="172"/>
      <c r="K88" s="423"/>
      <c r="L88" s="170"/>
      <c r="M88" s="425"/>
      <c r="N88" s="419"/>
      <c r="O88" s="170"/>
      <c r="P88" s="172"/>
      <c r="Q88" s="385">
        <f t="shared" si="10"/>
        <v>2.6334999999999997</v>
      </c>
      <c r="R88" s="381" t="s">
        <v>387</v>
      </c>
      <c r="S88" s="171" t="s">
        <v>560</v>
      </c>
    </row>
    <row r="89" spans="1:19" ht="12.75">
      <c r="A89" s="432" t="s">
        <v>127</v>
      </c>
      <c r="B89" s="419" t="e">
        <v>#N/A</v>
      </c>
      <c r="C89" s="170" t="e">
        <v>#N/A</v>
      </c>
      <c r="D89" s="29" t="e">
        <f t="shared" si="13"/>
        <v>#N/A</v>
      </c>
      <c r="E89" s="29" t="e">
        <f t="shared" si="12"/>
        <v>#N/A</v>
      </c>
      <c r="F89" s="29"/>
      <c r="G89" s="29"/>
      <c r="H89" s="170">
        <v>30</v>
      </c>
      <c r="I89" s="170">
        <v>96</v>
      </c>
      <c r="J89" s="172"/>
      <c r="K89" s="423"/>
      <c r="L89" s="170"/>
      <c r="M89" s="425"/>
      <c r="N89" s="419"/>
      <c r="O89" s="170"/>
      <c r="P89" s="172"/>
      <c r="Q89" s="385">
        <f t="shared" si="10"/>
        <v>63</v>
      </c>
      <c r="R89" s="381" t="s">
        <v>602</v>
      </c>
      <c r="S89" s="171" t="s">
        <v>603</v>
      </c>
    </row>
    <row r="90" spans="1:19" ht="12.75">
      <c r="A90" s="432" t="s">
        <v>128</v>
      </c>
      <c r="B90" s="419" t="e">
        <v>#N/A</v>
      </c>
      <c r="C90" s="170" t="e">
        <v>#N/A</v>
      </c>
      <c r="D90" s="29" t="e">
        <f t="shared" si="13"/>
        <v>#N/A</v>
      </c>
      <c r="E90" s="29" t="e">
        <f t="shared" si="12"/>
        <v>#N/A</v>
      </c>
      <c r="F90" s="29"/>
      <c r="G90" s="29"/>
      <c r="H90" s="170">
        <v>0.2</v>
      </c>
      <c r="I90" s="170">
        <v>0.074</v>
      </c>
      <c r="J90" s="181">
        <f>0.05*2.2046</f>
        <v>0.11023000000000001</v>
      </c>
      <c r="K90" s="423"/>
      <c r="L90" s="170"/>
      <c r="M90" s="425"/>
      <c r="N90" s="419"/>
      <c r="O90" s="170"/>
      <c r="P90" s="172"/>
      <c r="Q90" s="385">
        <f t="shared" si="10"/>
        <v>0.12807666666666667</v>
      </c>
      <c r="R90" s="381" t="s">
        <v>396</v>
      </c>
      <c r="S90" s="171" t="s">
        <v>798</v>
      </c>
    </row>
    <row r="91" spans="1:19" ht="12.75">
      <c r="A91" s="432" t="s">
        <v>743</v>
      </c>
      <c r="B91" s="419"/>
      <c r="C91" s="170"/>
      <c r="D91" s="29"/>
      <c r="E91" s="29"/>
      <c r="F91" s="29"/>
      <c r="G91" s="29"/>
      <c r="H91" s="170">
        <f>0.022*2.2046</f>
        <v>0.0485012</v>
      </c>
      <c r="I91" s="170"/>
      <c r="J91" s="172"/>
      <c r="K91" s="423">
        <v>16.96</v>
      </c>
      <c r="L91" s="170">
        <v>50</v>
      </c>
      <c r="M91" s="424">
        <f>AVERAGE(K91:L91)*0.00220462262</f>
        <v>0.0738107653176</v>
      </c>
      <c r="N91" s="419"/>
      <c r="O91" s="170"/>
      <c r="P91" s="172"/>
      <c r="Q91" s="385">
        <f t="shared" si="10"/>
        <v>0.0611559826588</v>
      </c>
      <c r="R91" s="381"/>
      <c r="S91" s="171"/>
    </row>
    <row r="92" spans="1:19" ht="12.75">
      <c r="A92" s="432" t="s">
        <v>129</v>
      </c>
      <c r="B92" s="419" t="e">
        <v>#N/A</v>
      </c>
      <c r="C92" s="170">
        <v>20</v>
      </c>
      <c r="D92" s="29" t="e">
        <f t="shared" si="13"/>
        <v>#N/A</v>
      </c>
      <c r="E92" s="29" t="e">
        <f>$D$198*B92</f>
        <v>#N/A</v>
      </c>
      <c r="F92" s="29">
        <v>20</v>
      </c>
      <c r="G92" s="29">
        <f>$D$199*F92</f>
        <v>17</v>
      </c>
      <c r="H92" s="170">
        <v>5.5</v>
      </c>
      <c r="I92" s="170">
        <v>1.529</v>
      </c>
      <c r="J92" s="172"/>
      <c r="K92" s="423"/>
      <c r="L92" s="170"/>
      <c r="M92" s="425"/>
      <c r="N92" s="419"/>
      <c r="O92" s="170"/>
      <c r="P92" s="172"/>
      <c r="Q92" s="385">
        <f t="shared" si="10"/>
        <v>3.5145</v>
      </c>
      <c r="R92" s="381" t="s">
        <v>387</v>
      </c>
      <c r="S92" s="171" t="s">
        <v>561</v>
      </c>
    </row>
    <row r="93" spans="1:19" ht="12.75">
      <c r="A93" s="432" t="s">
        <v>130</v>
      </c>
      <c r="B93" s="419">
        <v>7</v>
      </c>
      <c r="C93" s="170" t="e">
        <v>#N/A</v>
      </c>
      <c r="D93" s="29" t="e">
        <f t="shared" si="13"/>
        <v>#N/A</v>
      </c>
      <c r="E93" s="29">
        <f>$D$198*B93</f>
        <v>5.201712907143582</v>
      </c>
      <c r="F93" s="29">
        <v>5.11</v>
      </c>
      <c r="G93" s="29">
        <f>$D$199*F93</f>
        <v>4.343500000000001</v>
      </c>
      <c r="H93" s="170">
        <v>1</v>
      </c>
      <c r="I93" s="170">
        <v>0.892</v>
      </c>
      <c r="J93" s="172"/>
      <c r="K93" s="423"/>
      <c r="L93" s="170"/>
      <c r="M93" s="425"/>
      <c r="N93" s="419"/>
      <c r="O93" s="170"/>
      <c r="P93" s="172"/>
      <c r="Q93" s="385">
        <f t="shared" si="10"/>
        <v>0.946</v>
      </c>
      <c r="R93" s="381" t="s">
        <v>436</v>
      </c>
      <c r="S93" s="171" t="s">
        <v>562</v>
      </c>
    </row>
    <row r="94" spans="1:19" ht="12.75">
      <c r="A94" s="432" t="s">
        <v>131</v>
      </c>
      <c r="B94" s="419">
        <v>10</v>
      </c>
      <c r="C94" s="170" t="e">
        <v>#N/A</v>
      </c>
      <c r="D94" s="29" t="e">
        <f t="shared" si="13"/>
        <v>#N/A</v>
      </c>
      <c r="E94" s="29">
        <f>$D$198*B94</f>
        <v>7.4310184387765466</v>
      </c>
      <c r="F94" s="29">
        <v>7.3</v>
      </c>
      <c r="G94" s="29">
        <f>$D$199*F94</f>
        <v>6.205</v>
      </c>
      <c r="H94" s="170"/>
      <c r="I94" s="170"/>
      <c r="J94" s="172"/>
      <c r="K94" s="423"/>
      <c r="L94" s="170"/>
      <c r="M94" s="425"/>
      <c r="N94" s="419"/>
      <c r="O94" s="170"/>
      <c r="P94" s="172"/>
      <c r="Q94" s="385">
        <f>G94</f>
        <v>6.205</v>
      </c>
      <c r="R94" s="381" t="s">
        <v>541</v>
      </c>
      <c r="S94" s="171">
        <v>8</v>
      </c>
    </row>
    <row r="95" spans="1:19" ht="12.75">
      <c r="A95" s="432" t="s">
        <v>132</v>
      </c>
      <c r="B95" s="419" t="e">
        <v>#N/A</v>
      </c>
      <c r="C95" s="170" t="e">
        <v>#N/A</v>
      </c>
      <c r="D95" s="29" t="e">
        <f t="shared" si="13"/>
        <v>#N/A</v>
      </c>
      <c r="E95" s="29" t="e">
        <f>$D$198*B95</f>
        <v>#N/A</v>
      </c>
      <c r="F95" s="29"/>
      <c r="G95" s="29"/>
      <c r="H95" s="170">
        <v>70</v>
      </c>
      <c r="I95" s="170">
        <v>30</v>
      </c>
      <c r="J95" s="172"/>
      <c r="K95" s="423"/>
      <c r="L95" s="170"/>
      <c r="M95" s="425"/>
      <c r="N95" s="419"/>
      <c r="O95" s="170"/>
      <c r="P95" s="172"/>
      <c r="Q95" s="385">
        <f t="shared" si="10"/>
        <v>50</v>
      </c>
      <c r="R95" s="381" t="s">
        <v>604</v>
      </c>
      <c r="S95" s="171" t="s">
        <v>605</v>
      </c>
    </row>
    <row r="96" spans="1:19" ht="12.75">
      <c r="A96" s="432" t="s">
        <v>133</v>
      </c>
      <c r="B96" s="419" t="e">
        <v>#N/A</v>
      </c>
      <c r="C96" s="170">
        <v>1.5</v>
      </c>
      <c r="D96" s="29" t="e">
        <f t="shared" si="13"/>
        <v>#N/A</v>
      </c>
      <c r="E96" s="29" t="e">
        <f>$D$198*B96</f>
        <v>#N/A</v>
      </c>
      <c r="F96" s="29">
        <v>1.5</v>
      </c>
      <c r="G96" s="29">
        <f>$D$199*F96</f>
        <v>1.275</v>
      </c>
      <c r="H96" s="170">
        <v>0.5</v>
      </c>
      <c r="I96" s="170">
        <v>0.275</v>
      </c>
      <c r="J96" s="172">
        <f>2.205*0.204</f>
        <v>0.44982</v>
      </c>
      <c r="K96" s="423"/>
      <c r="L96" s="170"/>
      <c r="M96" s="425"/>
      <c r="N96" s="419"/>
      <c r="O96" s="170"/>
      <c r="P96" s="172"/>
      <c r="Q96" s="385">
        <f t="shared" si="10"/>
        <v>0.4082733333333333</v>
      </c>
      <c r="R96" s="381" t="s">
        <v>387</v>
      </c>
      <c r="S96" s="171" t="s">
        <v>563</v>
      </c>
    </row>
    <row r="97" spans="1:19" ht="12.75">
      <c r="A97" s="432" t="s">
        <v>134</v>
      </c>
      <c r="B97" s="419"/>
      <c r="C97" s="170"/>
      <c r="D97" s="29"/>
      <c r="E97" s="29"/>
      <c r="F97" s="29"/>
      <c r="G97" s="29"/>
      <c r="H97" s="170">
        <v>16</v>
      </c>
      <c r="I97" s="170">
        <v>7.5</v>
      </c>
      <c r="K97" s="423">
        <v>6820</v>
      </c>
      <c r="L97" s="170">
        <v>15900</v>
      </c>
      <c r="M97" s="424">
        <f>AVERAGE(K97:L97)*0.00220462262</f>
        <v>25.0445129632</v>
      </c>
      <c r="N97" s="419"/>
      <c r="O97" s="170"/>
      <c r="P97" s="172"/>
      <c r="Q97" s="385">
        <f t="shared" si="10"/>
        <v>16.181504321066665</v>
      </c>
      <c r="R97" s="381" t="s">
        <v>387</v>
      </c>
      <c r="S97" s="171" t="s">
        <v>571</v>
      </c>
    </row>
    <row r="98" spans="1:19" ht="12.75">
      <c r="A98" s="432" t="s">
        <v>135</v>
      </c>
      <c r="B98" s="419" t="e">
        <v>#N/A</v>
      </c>
      <c r="C98" s="170" t="e">
        <v>#N/A</v>
      </c>
      <c r="D98" s="29" t="e">
        <f t="shared" si="13"/>
        <v>#N/A</v>
      </c>
      <c r="E98" s="29" t="e">
        <f>$D$198*B98</f>
        <v>#N/A</v>
      </c>
      <c r="F98" s="29"/>
      <c r="G98" s="29"/>
      <c r="H98" s="170">
        <v>1100</v>
      </c>
      <c r="I98" s="170">
        <v>1100</v>
      </c>
      <c r="J98" s="172"/>
      <c r="K98" s="423"/>
      <c r="L98" s="170"/>
      <c r="M98" s="425"/>
      <c r="N98" s="419">
        <v>90</v>
      </c>
      <c r="O98" s="170">
        <v>180</v>
      </c>
      <c r="P98" s="378">
        <f>AVERAGE(N98:O98)*2.20462262</f>
        <v>297.6240537</v>
      </c>
      <c r="Q98" s="385">
        <f t="shared" si="10"/>
        <v>832.5413512333333</v>
      </c>
      <c r="R98" s="381" t="s">
        <v>440</v>
      </c>
      <c r="S98" s="171" t="s">
        <v>430</v>
      </c>
    </row>
    <row r="99" spans="1:19" ht="12.75">
      <c r="A99" s="432" t="s">
        <v>136</v>
      </c>
      <c r="B99" s="419">
        <v>4.5</v>
      </c>
      <c r="C99" s="170" t="e">
        <v>#N/A</v>
      </c>
      <c r="D99" s="29" t="e">
        <f>C99/B99</f>
        <v>#N/A</v>
      </c>
      <c r="E99" s="29">
        <f>$D$198*B99</f>
        <v>3.343958297449446</v>
      </c>
      <c r="F99" s="29">
        <v>3.285</v>
      </c>
      <c r="G99" s="29">
        <f>$D$199*F99</f>
        <v>2.79225</v>
      </c>
      <c r="H99" s="170">
        <v>2.5</v>
      </c>
      <c r="I99" s="170">
        <v>2.5</v>
      </c>
      <c r="J99" s="172"/>
      <c r="K99" s="423">
        <v>2000</v>
      </c>
      <c r="L99" s="170">
        <v>2000</v>
      </c>
      <c r="M99" s="424">
        <f>AVERAGE(K99:L99)*0.00220462262</f>
        <v>4.40924524</v>
      </c>
      <c r="N99" s="419"/>
      <c r="O99" s="170"/>
      <c r="P99" s="172"/>
      <c r="Q99" s="385">
        <f t="shared" si="10"/>
        <v>3.1364150800000004</v>
      </c>
      <c r="R99" s="381" t="s">
        <v>441</v>
      </c>
      <c r="S99" s="171" t="s">
        <v>442</v>
      </c>
    </row>
    <row r="100" spans="1:19" ht="12.75">
      <c r="A100" s="432" t="s">
        <v>443</v>
      </c>
      <c r="B100" s="419" t="e">
        <v>#N/A</v>
      </c>
      <c r="C100" s="170" t="e">
        <v>#N/A</v>
      </c>
      <c r="D100" s="29" t="e">
        <f t="shared" si="13"/>
        <v>#N/A</v>
      </c>
      <c r="E100" s="29" t="e">
        <f>$D$198*B100</f>
        <v>#N/A</v>
      </c>
      <c r="F100" s="29"/>
      <c r="G100" s="29"/>
      <c r="H100" s="170">
        <v>10</v>
      </c>
      <c r="I100" s="170"/>
      <c r="J100" s="172"/>
      <c r="K100" s="423"/>
      <c r="L100" s="170"/>
      <c r="M100" s="425"/>
      <c r="N100" s="419"/>
      <c r="O100" s="170"/>
      <c r="P100" s="172"/>
      <c r="Q100" s="385">
        <f t="shared" si="10"/>
        <v>10</v>
      </c>
      <c r="R100" s="381"/>
      <c r="S100" s="171">
        <v>6</v>
      </c>
    </row>
    <row r="101" spans="1:19" ht="12.75">
      <c r="A101" s="432" t="s">
        <v>703</v>
      </c>
      <c r="B101" s="419"/>
      <c r="C101" s="170"/>
      <c r="D101" s="29"/>
      <c r="E101" s="29"/>
      <c r="F101" s="29"/>
      <c r="G101" s="29"/>
      <c r="H101" s="170">
        <v>21</v>
      </c>
      <c r="I101" s="170"/>
      <c r="J101" s="172"/>
      <c r="K101" s="423"/>
      <c r="L101" s="170"/>
      <c r="M101" s="425"/>
      <c r="N101" s="419"/>
      <c r="O101" s="170"/>
      <c r="P101" s="172"/>
      <c r="Q101" s="385">
        <f t="shared" si="10"/>
        <v>21</v>
      </c>
      <c r="R101" s="381" t="s">
        <v>724</v>
      </c>
      <c r="S101" s="171">
        <v>67</v>
      </c>
    </row>
    <row r="102" spans="1:19" ht="12.75">
      <c r="A102" s="432" t="s">
        <v>137</v>
      </c>
      <c r="B102" s="419">
        <v>42.125</v>
      </c>
      <c r="C102" s="170" t="e">
        <v>#N/A</v>
      </c>
      <c r="D102" s="29" t="e">
        <f t="shared" si="13"/>
        <v>#N/A</v>
      </c>
      <c r="E102" s="29">
        <f aca="true" t="shared" si="14" ref="E102:E107">$D$198*B102</f>
        <v>31.3031651733462</v>
      </c>
      <c r="F102" s="29">
        <v>30.75125</v>
      </c>
      <c r="G102" s="29"/>
      <c r="H102" s="170">
        <v>25</v>
      </c>
      <c r="I102" s="170">
        <v>1.25</v>
      </c>
      <c r="J102" s="172"/>
      <c r="K102" s="423">
        <v>500</v>
      </c>
      <c r="L102" s="170">
        <v>5000</v>
      </c>
      <c r="M102" s="424">
        <f aca="true" t="shared" si="15" ref="M102:M110">AVERAGE(K102:L102)*0.00220462262</f>
        <v>6.0627122049999995</v>
      </c>
      <c r="N102" s="419"/>
      <c r="O102" s="170"/>
      <c r="P102" s="172"/>
      <c r="Q102" s="385">
        <f t="shared" si="10"/>
        <v>10.770904068333332</v>
      </c>
      <c r="R102" s="382" t="s">
        <v>387</v>
      </c>
      <c r="S102" s="174" t="s">
        <v>572</v>
      </c>
    </row>
    <row r="103" spans="1:19" ht="12.75">
      <c r="A103" s="432" t="s">
        <v>138</v>
      </c>
      <c r="B103" s="419">
        <v>96</v>
      </c>
      <c r="C103" s="170">
        <v>60</v>
      </c>
      <c r="D103" s="29">
        <f t="shared" si="13"/>
        <v>0.625</v>
      </c>
      <c r="E103" s="29">
        <f t="shared" si="14"/>
        <v>71.33777701225485</v>
      </c>
      <c r="F103" s="29">
        <v>65.04</v>
      </c>
      <c r="G103" s="29"/>
      <c r="H103" s="170">
        <v>35</v>
      </c>
      <c r="I103" s="170">
        <v>15</v>
      </c>
      <c r="J103" s="172"/>
      <c r="K103" s="423">
        <v>4540</v>
      </c>
      <c r="L103" s="170">
        <v>21364</v>
      </c>
      <c r="M103" s="424">
        <f t="shared" si="15"/>
        <v>28.55427217424</v>
      </c>
      <c r="N103" s="419">
        <v>4.5</v>
      </c>
      <c r="O103" s="170">
        <v>12</v>
      </c>
      <c r="P103" s="378">
        <f>AVERAGE(N103:O103)*2.20462262</f>
        <v>18.188136614999998</v>
      </c>
      <c r="Q103" s="385">
        <f t="shared" si="10"/>
        <v>24.18560219731</v>
      </c>
      <c r="R103" s="382" t="s">
        <v>387</v>
      </c>
      <c r="S103" s="174" t="s">
        <v>567</v>
      </c>
    </row>
    <row r="104" spans="1:19" ht="12.75">
      <c r="A104" s="432" t="s">
        <v>274</v>
      </c>
      <c r="B104" s="419">
        <v>435</v>
      </c>
      <c r="C104" s="170" t="e">
        <v>#N/A</v>
      </c>
      <c r="D104" s="29" t="e">
        <f t="shared" si="13"/>
        <v>#N/A</v>
      </c>
      <c r="E104" s="29">
        <f t="shared" si="14"/>
        <v>323.2493020867798</v>
      </c>
      <c r="F104" s="29">
        <v>317.55</v>
      </c>
      <c r="G104" s="29">
        <f>$D$199*F104</f>
        <v>269.9175</v>
      </c>
      <c r="H104" s="170"/>
      <c r="I104" s="170"/>
      <c r="J104" s="172"/>
      <c r="K104" s="423">
        <v>15000</v>
      </c>
      <c r="L104" s="170">
        <v>20000</v>
      </c>
      <c r="M104" s="424">
        <f t="shared" si="15"/>
        <v>38.58089585</v>
      </c>
      <c r="N104" s="419"/>
      <c r="O104" s="170"/>
      <c r="P104" s="172"/>
      <c r="Q104" s="385">
        <f t="shared" si="10"/>
        <v>38.58089585</v>
      </c>
      <c r="R104" s="382"/>
      <c r="S104" s="174">
        <v>3</v>
      </c>
    </row>
    <row r="105" spans="1:19" ht="12.75">
      <c r="A105" s="432" t="s">
        <v>275</v>
      </c>
      <c r="B105" s="419">
        <v>1496</v>
      </c>
      <c r="C105" s="170" t="e">
        <v>#N/A</v>
      </c>
      <c r="D105" s="29" t="e">
        <f t="shared" si="13"/>
        <v>#N/A</v>
      </c>
      <c r="E105" s="29">
        <f t="shared" si="14"/>
        <v>1111.6803584409713</v>
      </c>
      <c r="F105" s="29">
        <v>1092.08</v>
      </c>
      <c r="G105" s="29"/>
      <c r="H105" s="170">
        <v>70</v>
      </c>
      <c r="I105" s="170"/>
      <c r="J105" s="172"/>
      <c r="K105" s="423">
        <v>262000</v>
      </c>
      <c r="L105" s="170">
        <v>262000</v>
      </c>
      <c r="M105" s="424">
        <f t="shared" si="15"/>
        <v>577.61112644</v>
      </c>
      <c r="N105" s="419"/>
      <c r="O105" s="170"/>
      <c r="P105" s="378">
        <f>68*2.20462262</f>
        <v>149.91433816</v>
      </c>
      <c r="Q105" s="385">
        <f t="shared" si="10"/>
        <v>265.84182153333336</v>
      </c>
      <c r="R105" s="382"/>
      <c r="S105" s="174" t="s">
        <v>573</v>
      </c>
    </row>
    <row r="106" spans="1:19" ht="12.75">
      <c r="A106" s="432" t="s">
        <v>276</v>
      </c>
      <c r="B106" s="419" t="e">
        <v>#N/A</v>
      </c>
      <c r="C106" s="170">
        <v>30</v>
      </c>
      <c r="D106" s="29" t="e">
        <f t="shared" si="13"/>
        <v>#N/A</v>
      </c>
      <c r="E106" s="29" t="e">
        <f t="shared" si="14"/>
        <v>#N/A</v>
      </c>
      <c r="F106" s="29">
        <v>30</v>
      </c>
      <c r="G106" s="29"/>
      <c r="H106" s="170">
        <v>8</v>
      </c>
      <c r="I106" s="170">
        <v>6.5</v>
      </c>
      <c r="J106" s="172"/>
      <c r="K106" s="423">
        <v>3722.8</v>
      </c>
      <c r="L106" s="170">
        <v>5548.3</v>
      </c>
      <c r="M106" s="424">
        <f t="shared" si="15"/>
        <v>10.219638386141</v>
      </c>
      <c r="N106" s="419"/>
      <c r="O106" s="170"/>
      <c r="P106" s="172"/>
      <c r="Q106" s="385">
        <f t="shared" si="10"/>
        <v>8.239879462047</v>
      </c>
      <c r="R106" s="382" t="s">
        <v>387</v>
      </c>
      <c r="S106" s="174" t="s">
        <v>574</v>
      </c>
    </row>
    <row r="107" spans="1:19" ht="12.75">
      <c r="A107" s="432" t="s">
        <v>277</v>
      </c>
      <c r="B107" s="419" t="e">
        <v>#N/A</v>
      </c>
      <c r="C107" s="170" t="e">
        <v>#N/A</v>
      </c>
      <c r="D107" s="29" t="e">
        <f t="shared" si="13"/>
        <v>#N/A</v>
      </c>
      <c r="E107" s="29" t="e">
        <f t="shared" si="14"/>
        <v>#N/A</v>
      </c>
      <c r="F107" s="29"/>
      <c r="G107" s="29"/>
      <c r="H107" s="170">
        <v>22.5</v>
      </c>
      <c r="I107" s="170">
        <v>8</v>
      </c>
      <c r="J107" s="172"/>
      <c r="K107" s="423">
        <v>2000</v>
      </c>
      <c r="L107" s="170">
        <v>10000</v>
      </c>
      <c r="M107" s="424">
        <f t="shared" si="15"/>
        <v>13.22773572</v>
      </c>
      <c r="N107" s="419">
        <v>2.5</v>
      </c>
      <c r="O107" s="170">
        <v>3.5</v>
      </c>
      <c r="P107" s="378">
        <f>AVERAGE(N107:O107)*2.20462262</f>
        <v>6.613867859999999</v>
      </c>
      <c r="Q107" s="385">
        <f t="shared" si="10"/>
        <v>12.585400895</v>
      </c>
      <c r="R107" s="382" t="s">
        <v>387</v>
      </c>
      <c r="S107" s="174" t="s">
        <v>571</v>
      </c>
    </row>
    <row r="108" spans="1:19" ht="12.75">
      <c r="A108" s="432" t="s">
        <v>278</v>
      </c>
      <c r="B108" s="419">
        <v>388</v>
      </c>
      <c r="C108" s="170" t="e">
        <v>#N/A</v>
      </c>
      <c r="D108" s="29" t="e">
        <f t="shared" si="13"/>
        <v>#N/A</v>
      </c>
      <c r="E108" s="29">
        <f aca="true" t="shared" si="16" ref="E108:E115">$D$198*B108</f>
        <v>288.32351542453</v>
      </c>
      <c r="F108" s="29">
        <v>288.324</v>
      </c>
      <c r="G108" s="29">
        <f>$D$199*F108</f>
        <v>245.0754</v>
      </c>
      <c r="H108" s="170"/>
      <c r="I108" s="170"/>
      <c r="J108" s="172"/>
      <c r="K108" s="423">
        <v>5000</v>
      </c>
      <c r="L108" s="170">
        <v>20000</v>
      </c>
      <c r="M108" s="424">
        <f t="shared" si="15"/>
        <v>27.55778275</v>
      </c>
      <c r="N108" s="419">
        <v>9</v>
      </c>
      <c r="O108" s="170">
        <v>45</v>
      </c>
      <c r="P108" s="378">
        <f>AVERAGE(N108:O108)*2.20462262</f>
        <v>59.52481074</v>
      </c>
      <c r="Q108" s="385">
        <f t="shared" si="10"/>
        <v>43.541296745</v>
      </c>
      <c r="R108" s="382"/>
      <c r="S108" s="174">
        <v>33</v>
      </c>
    </row>
    <row r="109" spans="1:19" ht="12.75">
      <c r="A109" s="432" t="s">
        <v>279</v>
      </c>
      <c r="B109" s="419" t="e">
        <v>#N/A</v>
      </c>
      <c r="C109" s="170" t="e">
        <v>#N/A</v>
      </c>
      <c r="D109" s="29" t="e">
        <f t="shared" si="13"/>
        <v>#N/A</v>
      </c>
      <c r="E109" s="29" t="e">
        <f t="shared" si="16"/>
        <v>#N/A</v>
      </c>
      <c r="F109" s="29"/>
      <c r="G109" s="29"/>
      <c r="H109" s="170">
        <f>AVERAGE(Q103,Q105,Q106,Q107,8.5)</f>
        <v>63.87054081753807</v>
      </c>
      <c r="I109" s="170"/>
      <c r="J109" s="172"/>
      <c r="K109" s="423"/>
      <c r="L109" s="170"/>
      <c r="M109" s="425"/>
      <c r="N109" s="419"/>
      <c r="O109" s="170"/>
      <c r="P109" s="172"/>
      <c r="Q109" s="385">
        <f t="shared" si="10"/>
        <v>63.87054081753807</v>
      </c>
      <c r="R109" s="382" t="s">
        <v>417</v>
      </c>
      <c r="S109" s="174">
        <v>33</v>
      </c>
    </row>
    <row r="110" spans="1:19" ht="12.75">
      <c r="A110" s="432" t="s">
        <v>720</v>
      </c>
      <c r="B110" s="419"/>
      <c r="C110" s="170"/>
      <c r="D110" s="29"/>
      <c r="E110" s="29"/>
      <c r="F110" s="29"/>
      <c r="G110" s="29"/>
      <c r="H110" s="170">
        <v>4.5</v>
      </c>
      <c r="I110" s="170"/>
      <c r="J110" s="172"/>
      <c r="K110" s="423">
        <v>2065.359129</v>
      </c>
      <c r="L110" s="170">
        <v>11224.793958</v>
      </c>
      <c r="M110" s="424">
        <f t="shared" si="15"/>
        <v>14.649886059431514</v>
      </c>
      <c r="N110" s="419"/>
      <c r="O110" s="170"/>
      <c r="P110" s="172"/>
      <c r="Q110" s="385">
        <f t="shared" si="10"/>
        <v>9.574943029715758</v>
      </c>
      <c r="R110" s="382" t="s">
        <v>722</v>
      </c>
      <c r="S110" s="174">
        <v>68</v>
      </c>
    </row>
    <row r="111" spans="1:25" ht="12.75">
      <c r="A111" s="432" t="s">
        <v>280</v>
      </c>
      <c r="B111" s="419">
        <v>42</v>
      </c>
      <c r="C111" s="170" t="e">
        <v>#N/A</v>
      </c>
      <c r="D111" s="29" t="e">
        <f t="shared" si="13"/>
        <v>#N/A</v>
      </c>
      <c r="E111" s="29">
        <f t="shared" si="16"/>
        <v>31.210277442861496</v>
      </c>
      <c r="F111" s="29">
        <v>30.66</v>
      </c>
      <c r="G111" s="29">
        <f>$D$199*F111</f>
        <v>26.061</v>
      </c>
      <c r="H111" s="170"/>
      <c r="I111" s="170"/>
      <c r="J111" s="172"/>
      <c r="K111" s="423"/>
      <c r="L111" s="170"/>
      <c r="M111" s="425"/>
      <c r="N111" s="419"/>
      <c r="O111" s="170"/>
      <c r="P111" s="172"/>
      <c r="Q111" s="385">
        <f>G111</f>
        <v>26.061</v>
      </c>
      <c r="R111" s="382"/>
      <c r="S111" s="174">
        <v>3</v>
      </c>
      <c r="Y111" s="293"/>
    </row>
    <row r="112" spans="1:19" ht="12.75">
      <c r="A112" s="432" t="s">
        <v>281</v>
      </c>
      <c r="B112" s="419" t="e">
        <v>#N/A</v>
      </c>
      <c r="C112" s="170">
        <v>40</v>
      </c>
      <c r="D112" s="29" t="e">
        <f t="shared" si="13"/>
        <v>#N/A</v>
      </c>
      <c r="E112" s="29" t="e">
        <f t="shared" si="16"/>
        <v>#N/A</v>
      </c>
      <c r="F112" s="29">
        <v>40</v>
      </c>
      <c r="G112" s="29">
        <f>$D$199*F112</f>
        <v>34</v>
      </c>
      <c r="H112" s="170">
        <v>9</v>
      </c>
      <c r="I112" s="170"/>
      <c r="J112" s="172"/>
      <c r="K112" s="423"/>
      <c r="L112" s="170"/>
      <c r="M112" s="425"/>
      <c r="N112" s="419"/>
      <c r="O112" s="170"/>
      <c r="P112" s="172"/>
      <c r="Q112" s="385">
        <f t="shared" si="10"/>
        <v>9</v>
      </c>
      <c r="R112" s="382"/>
      <c r="S112" s="174" t="s">
        <v>445</v>
      </c>
    </row>
    <row r="113" spans="1:19" ht="12.75">
      <c r="A113" s="432" t="s">
        <v>282</v>
      </c>
      <c r="B113" s="419" t="e">
        <v>#N/A</v>
      </c>
      <c r="C113" s="170" t="e">
        <v>#N/A</v>
      </c>
      <c r="D113" s="29" t="e">
        <f t="shared" si="13"/>
        <v>#N/A</v>
      </c>
      <c r="E113" s="29" t="e">
        <f t="shared" si="16"/>
        <v>#N/A</v>
      </c>
      <c r="F113" s="29"/>
      <c r="G113" s="29"/>
      <c r="H113" s="170">
        <v>1</v>
      </c>
      <c r="I113" s="170">
        <v>1.5</v>
      </c>
      <c r="J113" s="172"/>
      <c r="K113" s="423">
        <v>114</v>
      </c>
      <c r="L113" s="170">
        <v>454</v>
      </c>
      <c r="M113" s="424">
        <f>AVERAGE(K113:L113)*0.00220462262</f>
        <v>0.62611282408</v>
      </c>
      <c r="N113" s="419"/>
      <c r="O113" s="170"/>
      <c r="P113" s="172"/>
      <c r="Q113" s="385">
        <f t="shared" si="10"/>
        <v>1.0420376080266667</v>
      </c>
      <c r="R113" s="382"/>
      <c r="S113" s="174" t="s">
        <v>446</v>
      </c>
    </row>
    <row r="114" spans="1:19" ht="12.75">
      <c r="A114" s="432" t="s">
        <v>283</v>
      </c>
      <c r="B114" s="419" t="e">
        <v>#N/A</v>
      </c>
      <c r="C114" s="170" t="e">
        <v>#N/A</v>
      </c>
      <c r="D114" s="29" t="e">
        <f t="shared" si="13"/>
        <v>#N/A</v>
      </c>
      <c r="E114" s="29" t="e">
        <f t="shared" si="16"/>
        <v>#N/A</v>
      </c>
      <c r="F114" s="29"/>
      <c r="G114" s="29"/>
      <c r="H114" s="170">
        <f>SUM(Commerical!C4:H147)*1000/SUM(Commerical!I4:N147)</f>
        <v>0.9572726914026904</v>
      </c>
      <c r="I114" s="170"/>
      <c r="J114" s="172"/>
      <c r="K114" s="423"/>
      <c r="L114" s="170"/>
      <c r="M114" s="425"/>
      <c r="N114" s="419"/>
      <c r="O114" s="170"/>
      <c r="P114" s="172"/>
      <c r="Q114" s="385">
        <f>AVERAGE(P114,M114,H114:J114)</f>
        <v>0.9572726914026904</v>
      </c>
      <c r="R114" s="383" t="s">
        <v>15</v>
      </c>
      <c r="S114" s="174"/>
    </row>
    <row r="115" spans="1:19" ht="13.5" thickBot="1">
      <c r="A115" s="433" t="s">
        <v>284</v>
      </c>
      <c r="B115" s="420" t="e">
        <v>#N/A</v>
      </c>
      <c r="C115" s="175" t="e">
        <v>#N/A</v>
      </c>
      <c r="D115" s="176" t="e">
        <f>C115/B115</f>
        <v>#N/A</v>
      </c>
      <c r="E115" s="176" t="e">
        <f t="shared" si="16"/>
        <v>#N/A</v>
      </c>
      <c r="F115" s="176"/>
      <c r="G115" s="176"/>
      <c r="H115" s="175">
        <f>H114</f>
        <v>0.9572726914026904</v>
      </c>
      <c r="I115" s="175"/>
      <c r="J115" s="379"/>
      <c r="K115" s="426"/>
      <c r="L115" s="175"/>
      <c r="M115" s="427"/>
      <c r="N115" s="420"/>
      <c r="O115" s="175"/>
      <c r="P115" s="379"/>
      <c r="Q115" s="386">
        <f t="shared" si="10"/>
        <v>0.9572726914026904</v>
      </c>
      <c r="R115" s="383" t="s">
        <v>15</v>
      </c>
      <c r="S115" s="177"/>
    </row>
    <row r="116" spans="1:19" ht="12.75">
      <c r="A116" s="217" t="s">
        <v>684</v>
      </c>
      <c r="B116" s="173"/>
      <c r="C116" s="173"/>
      <c r="D116" s="40"/>
      <c r="E116" s="40"/>
      <c r="F116" s="40"/>
      <c r="G116" s="40"/>
      <c r="H116" s="173"/>
      <c r="I116" s="173"/>
      <c r="J116" s="173"/>
      <c r="K116" s="173"/>
      <c r="L116" s="173"/>
      <c r="M116" s="173"/>
      <c r="N116" s="173"/>
      <c r="O116" s="173"/>
      <c r="P116" s="173"/>
      <c r="Q116" s="173">
        <f>Q114</f>
        <v>0.9572726914026904</v>
      </c>
      <c r="R116" s="178" t="s">
        <v>686</v>
      </c>
      <c r="S116" s="178">
        <v>61</v>
      </c>
    </row>
    <row r="117" spans="1:19" ht="12.75">
      <c r="A117" s="217"/>
      <c r="B117" s="173"/>
      <c r="C117" s="173"/>
      <c r="D117" s="40"/>
      <c r="E117" s="40"/>
      <c r="F117" s="40"/>
      <c r="G117" s="40"/>
      <c r="H117" s="173"/>
      <c r="I117" s="173"/>
      <c r="J117" s="173"/>
      <c r="K117" s="173"/>
      <c r="L117" s="173"/>
      <c r="M117" s="173"/>
      <c r="N117" s="173"/>
      <c r="O117" s="173"/>
      <c r="P117" s="173"/>
      <c r="Q117" s="173"/>
      <c r="R117" s="178"/>
      <c r="S117" s="178"/>
    </row>
    <row r="118" spans="1:19" ht="12.75">
      <c r="A118" s="38"/>
      <c r="B118" s="173"/>
      <c r="C118" s="173"/>
      <c r="D118" s="40"/>
      <c r="E118" s="40"/>
      <c r="F118" s="40"/>
      <c r="G118" s="40"/>
      <c r="H118" s="173"/>
      <c r="I118" s="173"/>
      <c r="J118" s="173"/>
      <c r="K118" s="173"/>
      <c r="L118" s="173"/>
      <c r="M118" s="173"/>
      <c r="N118" s="173"/>
      <c r="O118" s="173"/>
      <c r="P118" s="173"/>
      <c r="Q118" s="173"/>
      <c r="R118" s="178"/>
      <c r="S118" s="178"/>
    </row>
    <row r="119" spans="1:19" ht="14.25" thickBot="1">
      <c r="A119" s="434" t="s">
        <v>497</v>
      </c>
      <c r="B119" s="37" t="s">
        <v>368</v>
      </c>
      <c r="C119" s="37" t="s">
        <v>454</v>
      </c>
      <c r="D119" s="37" t="s">
        <v>455</v>
      </c>
      <c r="E119" s="37" t="s">
        <v>536</v>
      </c>
      <c r="F119" s="37" t="s">
        <v>458</v>
      </c>
      <c r="G119" s="37" t="s">
        <v>537</v>
      </c>
      <c r="H119" s="37" t="s">
        <v>388</v>
      </c>
      <c r="I119" s="37" t="s">
        <v>389</v>
      </c>
      <c r="J119" s="37" t="s">
        <v>413</v>
      </c>
      <c r="K119" s="37"/>
      <c r="L119" s="37"/>
      <c r="M119" s="37"/>
      <c r="N119" s="37"/>
      <c r="O119" s="37"/>
      <c r="P119" s="37"/>
      <c r="Q119" s="37" t="s">
        <v>139</v>
      </c>
      <c r="R119" s="14" t="s">
        <v>367</v>
      </c>
      <c r="S119" s="14" t="s">
        <v>366</v>
      </c>
    </row>
    <row r="120" spans="1:19" ht="12.75">
      <c r="A120" s="431" t="s">
        <v>287</v>
      </c>
      <c r="B120" s="428" t="e">
        <v>#N/A</v>
      </c>
      <c r="C120" s="165" t="e">
        <v>#N/A</v>
      </c>
      <c r="D120" s="150" t="e">
        <f t="shared" si="13"/>
        <v>#N/A</v>
      </c>
      <c r="E120" s="150" t="e">
        <f aca="true" t="shared" si="17" ref="E120:E130">$D$198*B120</f>
        <v>#N/A</v>
      </c>
      <c r="F120" s="150"/>
      <c r="G120" s="150"/>
      <c r="H120" s="165">
        <v>6</v>
      </c>
      <c r="I120" s="165"/>
      <c r="J120" s="165"/>
      <c r="K120" s="165"/>
      <c r="L120" s="165"/>
      <c r="M120" s="165"/>
      <c r="N120" s="165"/>
      <c r="O120" s="165"/>
      <c r="P120" s="387"/>
      <c r="Q120" s="384">
        <f aca="true" t="shared" si="18" ref="Q120:Q152">AVERAGEA(G120:J120)</f>
        <v>6</v>
      </c>
      <c r="R120" s="388" t="s">
        <v>387</v>
      </c>
      <c r="S120" s="179">
        <v>6</v>
      </c>
    </row>
    <row r="121" spans="1:19" ht="12.75">
      <c r="A121" s="432" t="s">
        <v>288</v>
      </c>
      <c r="B121" s="419" t="e">
        <v>#N/A</v>
      </c>
      <c r="C121" s="170" t="e">
        <v>#N/A</v>
      </c>
      <c r="D121" s="29" t="e">
        <f t="shared" si="13"/>
        <v>#N/A</v>
      </c>
      <c r="E121" s="29" t="e">
        <f t="shared" si="17"/>
        <v>#N/A</v>
      </c>
      <c r="F121" s="29"/>
      <c r="G121" s="29"/>
      <c r="H121" s="170">
        <v>0.290625</v>
      </c>
      <c r="I121" s="170"/>
      <c r="J121" s="170"/>
      <c r="K121" s="170"/>
      <c r="L121" s="170"/>
      <c r="M121" s="170"/>
      <c r="N121" s="170"/>
      <c r="O121" s="170"/>
      <c r="P121" s="172"/>
      <c r="Q121" s="385">
        <f t="shared" si="18"/>
        <v>0.290625</v>
      </c>
      <c r="R121" s="382" t="s">
        <v>540</v>
      </c>
      <c r="S121" s="174">
        <v>16</v>
      </c>
    </row>
    <row r="122" spans="1:19" ht="12.75">
      <c r="A122" s="432" t="s">
        <v>289</v>
      </c>
      <c r="B122" s="419" t="e">
        <v>#N/A</v>
      </c>
      <c r="C122" s="170">
        <v>5</v>
      </c>
      <c r="D122" s="29" t="e">
        <f t="shared" si="13"/>
        <v>#N/A</v>
      </c>
      <c r="E122" s="29" t="e">
        <f t="shared" si="17"/>
        <v>#N/A</v>
      </c>
      <c r="F122" s="29">
        <v>5</v>
      </c>
      <c r="G122" s="29">
        <f>$D$199*F122</f>
        <v>4.25</v>
      </c>
      <c r="H122" s="170">
        <v>3</v>
      </c>
      <c r="I122" s="170"/>
      <c r="J122" s="170"/>
      <c r="K122" s="170"/>
      <c r="L122" s="170"/>
      <c r="M122" s="170"/>
      <c r="N122" s="170"/>
      <c r="O122" s="170"/>
      <c r="P122" s="172"/>
      <c r="Q122" s="385">
        <f t="shared" si="18"/>
        <v>3.625</v>
      </c>
      <c r="R122" s="382" t="s">
        <v>478</v>
      </c>
      <c r="S122" s="174" t="s">
        <v>477</v>
      </c>
    </row>
    <row r="123" spans="1:19" ht="12.75">
      <c r="A123" s="432" t="s">
        <v>290</v>
      </c>
      <c r="B123" s="419" t="e">
        <v>#N/A</v>
      </c>
      <c r="C123" s="170" t="e">
        <v>#N/A</v>
      </c>
      <c r="D123" s="29" t="e">
        <f t="shared" si="13"/>
        <v>#N/A</v>
      </c>
      <c r="E123" s="29" t="e">
        <f t="shared" si="17"/>
        <v>#N/A</v>
      </c>
      <c r="F123" s="29"/>
      <c r="G123" s="29"/>
      <c r="H123" s="170">
        <v>0.3</v>
      </c>
      <c r="I123" s="170"/>
      <c r="J123" s="170"/>
      <c r="K123" s="170"/>
      <c r="L123" s="170"/>
      <c r="M123" s="170"/>
      <c r="N123" s="170"/>
      <c r="O123" s="170"/>
      <c r="P123" s="172"/>
      <c r="Q123" s="385">
        <f t="shared" si="18"/>
        <v>0.3</v>
      </c>
      <c r="R123" s="382" t="s">
        <v>450</v>
      </c>
      <c r="S123" s="174">
        <v>50</v>
      </c>
    </row>
    <row r="124" spans="1:19" ht="12.75">
      <c r="A124" s="432" t="s">
        <v>291</v>
      </c>
      <c r="B124" s="419" t="e">
        <v>#N/A</v>
      </c>
      <c r="C124" s="170" t="e">
        <v>#N/A</v>
      </c>
      <c r="D124" s="29" t="e">
        <f t="shared" si="13"/>
        <v>#N/A</v>
      </c>
      <c r="E124" s="29" t="e">
        <f t="shared" si="17"/>
        <v>#N/A</v>
      </c>
      <c r="F124" s="29"/>
      <c r="G124" s="29"/>
      <c r="H124" s="170">
        <v>0.40625</v>
      </c>
      <c r="I124" s="170"/>
      <c r="J124" s="170"/>
      <c r="K124" s="170"/>
      <c r="L124" s="170"/>
      <c r="M124" s="170"/>
      <c r="N124" s="170"/>
      <c r="O124" s="170"/>
      <c r="P124" s="172"/>
      <c r="Q124" s="385">
        <f t="shared" si="18"/>
        <v>0.40625</v>
      </c>
      <c r="R124" s="382" t="s">
        <v>482</v>
      </c>
      <c r="S124" s="174">
        <v>16</v>
      </c>
    </row>
    <row r="125" spans="1:19" ht="12.75">
      <c r="A125" s="432" t="s">
        <v>292</v>
      </c>
      <c r="B125" s="419" t="e">
        <v>#N/A</v>
      </c>
      <c r="C125" s="170" t="e">
        <v>#N/A</v>
      </c>
      <c r="D125" s="29" t="e">
        <f t="shared" si="13"/>
        <v>#N/A</v>
      </c>
      <c r="E125" s="29" t="e">
        <f t="shared" si="17"/>
        <v>#N/A</v>
      </c>
      <c r="F125" s="29"/>
      <c r="G125" s="29"/>
      <c r="H125" s="170">
        <v>0.28</v>
      </c>
      <c r="I125" s="170"/>
      <c r="J125" s="170"/>
      <c r="K125" s="170"/>
      <c r="L125" s="170"/>
      <c r="M125" s="170"/>
      <c r="N125" s="170"/>
      <c r="O125" s="170"/>
      <c r="P125" s="172"/>
      <c r="Q125" s="385">
        <f t="shared" si="18"/>
        <v>0.28</v>
      </c>
      <c r="R125" s="382" t="s">
        <v>450</v>
      </c>
      <c r="S125" s="174">
        <v>50</v>
      </c>
    </row>
    <row r="126" spans="1:19" ht="12.75">
      <c r="A126" s="432" t="s">
        <v>293</v>
      </c>
      <c r="B126" s="419" t="e">
        <v>#N/A</v>
      </c>
      <c r="C126" s="170" t="e">
        <v>#N/A</v>
      </c>
      <c r="D126" s="29" t="e">
        <f t="shared" si="13"/>
        <v>#N/A</v>
      </c>
      <c r="E126" s="29" t="e">
        <f t="shared" si="17"/>
        <v>#N/A</v>
      </c>
      <c r="F126" s="29"/>
      <c r="G126" s="29"/>
      <c r="H126" s="170">
        <v>0.29</v>
      </c>
      <c r="I126" s="170"/>
      <c r="J126" s="170"/>
      <c r="K126" s="170"/>
      <c r="L126" s="170"/>
      <c r="M126" s="170"/>
      <c r="N126" s="170"/>
      <c r="O126" s="170"/>
      <c r="P126" s="172"/>
      <c r="Q126" s="385">
        <f t="shared" si="18"/>
        <v>0.29</v>
      </c>
      <c r="R126" s="382" t="s">
        <v>450</v>
      </c>
      <c r="S126" s="174">
        <v>50</v>
      </c>
    </row>
    <row r="127" spans="1:19" ht="12.75">
      <c r="A127" s="432" t="s">
        <v>294</v>
      </c>
      <c r="B127" s="419" t="e">
        <v>#N/A</v>
      </c>
      <c r="C127" s="170" t="e">
        <v>#N/A</v>
      </c>
      <c r="D127" s="29" t="e">
        <f t="shared" si="13"/>
        <v>#N/A</v>
      </c>
      <c r="E127" s="29" t="e">
        <f t="shared" si="17"/>
        <v>#N/A</v>
      </c>
      <c r="F127" s="29"/>
      <c r="G127" s="29"/>
      <c r="H127" s="170">
        <f>AVERAGE(H121:H126)</f>
        <v>0.7611458333333333</v>
      </c>
      <c r="I127" s="170"/>
      <c r="J127" s="170"/>
      <c r="K127" s="170"/>
      <c r="L127" s="170"/>
      <c r="M127" s="170"/>
      <c r="N127" s="170"/>
      <c r="O127" s="170"/>
      <c r="P127" s="172"/>
      <c r="Q127" s="385">
        <f t="shared" si="18"/>
        <v>0.7611458333333333</v>
      </c>
      <c r="R127" s="382" t="s">
        <v>479</v>
      </c>
      <c r="S127" s="174">
        <v>50</v>
      </c>
    </row>
    <row r="128" spans="1:19" ht="12.75">
      <c r="A128" s="432" t="s">
        <v>295</v>
      </c>
      <c r="B128" s="419" t="e">
        <v>#N/A</v>
      </c>
      <c r="C128" s="170" t="e">
        <v>#N/A</v>
      </c>
      <c r="D128" s="29" t="e">
        <f t="shared" si="13"/>
        <v>#N/A</v>
      </c>
      <c r="E128" s="29" t="e">
        <f t="shared" si="17"/>
        <v>#N/A</v>
      </c>
      <c r="F128" s="29"/>
      <c r="G128" s="29"/>
      <c r="H128" s="170">
        <v>0.4</v>
      </c>
      <c r="I128" s="170"/>
      <c r="J128" s="170"/>
      <c r="K128" s="170"/>
      <c r="L128" s="170"/>
      <c r="M128" s="170"/>
      <c r="N128" s="170"/>
      <c r="O128" s="170"/>
      <c r="P128" s="172"/>
      <c r="Q128" s="385">
        <f t="shared" si="18"/>
        <v>0.4</v>
      </c>
      <c r="R128" s="382"/>
      <c r="S128" s="174">
        <v>50</v>
      </c>
    </row>
    <row r="129" spans="1:19" ht="12.75">
      <c r="A129" s="432" t="s">
        <v>296</v>
      </c>
      <c r="B129" s="419" t="e">
        <v>#N/A</v>
      </c>
      <c r="C129" s="170" t="e">
        <v>#N/A</v>
      </c>
      <c r="D129" s="29" t="e">
        <f t="shared" si="13"/>
        <v>#N/A</v>
      </c>
      <c r="E129" s="29" t="e">
        <f t="shared" si="17"/>
        <v>#N/A</v>
      </c>
      <c r="F129" s="29"/>
      <c r="G129" s="29"/>
      <c r="H129" s="170">
        <v>0.83125</v>
      </c>
      <c r="I129" s="170">
        <v>0.53125</v>
      </c>
      <c r="J129" s="170">
        <v>0.333</v>
      </c>
      <c r="K129" s="170"/>
      <c r="L129" s="170"/>
      <c r="M129" s="170"/>
      <c r="N129" s="170"/>
      <c r="O129" s="170"/>
      <c r="P129" s="172"/>
      <c r="Q129" s="385">
        <f t="shared" si="18"/>
        <v>0.5651666666666667</v>
      </c>
      <c r="R129" s="382" t="s">
        <v>447</v>
      </c>
      <c r="S129" s="174" t="s">
        <v>676</v>
      </c>
    </row>
    <row r="130" spans="1:19" ht="12.75">
      <c r="A130" s="432" t="s">
        <v>297</v>
      </c>
      <c r="B130" s="419" t="e">
        <v>#N/A</v>
      </c>
      <c r="C130" s="170" t="e">
        <v>#N/A</v>
      </c>
      <c r="D130" s="29" t="e">
        <f t="shared" si="13"/>
        <v>#N/A</v>
      </c>
      <c r="E130" s="29" t="e">
        <f t="shared" si="17"/>
        <v>#N/A</v>
      </c>
      <c r="F130" s="29"/>
      <c r="G130" s="29"/>
      <c r="H130" s="170">
        <v>0.56</v>
      </c>
      <c r="I130" s="170"/>
      <c r="J130" s="170">
        <v>0.333</v>
      </c>
      <c r="K130" s="170"/>
      <c r="L130" s="170"/>
      <c r="M130" s="170"/>
      <c r="N130" s="170"/>
      <c r="O130" s="170"/>
      <c r="P130" s="172"/>
      <c r="Q130" s="385">
        <f t="shared" si="18"/>
        <v>0.4465</v>
      </c>
      <c r="R130" s="382" t="s">
        <v>675</v>
      </c>
      <c r="S130" s="174" t="s">
        <v>676</v>
      </c>
    </row>
    <row r="131" spans="1:19" ht="12.75">
      <c r="A131" s="432" t="s">
        <v>661</v>
      </c>
      <c r="B131" s="419"/>
      <c r="C131" s="170"/>
      <c r="D131" s="29"/>
      <c r="E131" s="29"/>
      <c r="F131" s="29"/>
      <c r="G131" s="29"/>
      <c r="H131" s="170"/>
      <c r="I131" s="170"/>
      <c r="J131" s="170">
        <f>J130</f>
        <v>0.333</v>
      </c>
      <c r="K131" s="170"/>
      <c r="L131" s="170"/>
      <c r="M131" s="170"/>
      <c r="N131" s="170"/>
      <c r="O131" s="170"/>
      <c r="P131" s="172"/>
      <c r="Q131" s="385">
        <f t="shared" si="18"/>
        <v>0.333</v>
      </c>
      <c r="R131" s="382"/>
      <c r="S131" s="174">
        <v>57</v>
      </c>
    </row>
    <row r="132" spans="1:19" ht="12.75">
      <c r="A132" s="432" t="s">
        <v>298</v>
      </c>
      <c r="B132" s="419" t="e">
        <v>#N/A</v>
      </c>
      <c r="C132" s="170">
        <v>3.5</v>
      </c>
      <c r="D132" s="29" t="e">
        <f t="shared" si="13"/>
        <v>#N/A</v>
      </c>
      <c r="E132" s="29" t="e">
        <f aca="true" t="shared" si="19" ref="E132:E137">$D$198*B132</f>
        <v>#N/A</v>
      </c>
      <c r="F132" s="29">
        <v>3.5</v>
      </c>
      <c r="G132" s="29">
        <f>$D$199*F132</f>
        <v>2.975</v>
      </c>
      <c r="H132" s="170">
        <v>1.5</v>
      </c>
      <c r="I132" s="170"/>
      <c r="J132" s="170"/>
      <c r="K132" s="170"/>
      <c r="L132" s="170"/>
      <c r="M132" s="170"/>
      <c r="N132" s="170"/>
      <c r="O132" s="170"/>
      <c r="P132" s="172"/>
      <c r="Q132" s="385">
        <f t="shared" si="18"/>
        <v>2.2375</v>
      </c>
      <c r="R132" s="382"/>
      <c r="S132" s="174">
        <v>16</v>
      </c>
    </row>
    <row r="133" spans="1:19" ht="12.75">
      <c r="A133" s="432" t="s">
        <v>299</v>
      </c>
      <c r="B133" s="419" t="e">
        <v>#N/A</v>
      </c>
      <c r="C133" s="170">
        <v>1.5</v>
      </c>
      <c r="D133" s="29" t="e">
        <f t="shared" si="13"/>
        <v>#N/A</v>
      </c>
      <c r="E133" s="29" t="e">
        <f t="shared" si="19"/>
        <v>#N/A</v>
      </c>
      <c r="F133" s="29">
        <v>1.5</v>
      </c>
      <c r="G133" s="29">
        <f>$D$199*F133</f>
        <v>1.275</v>
      </c>
      <c r="H133" s="170"/>
      <c r="I133" s="170"/>
      <c r="J133" s="170"/>
      <c r="K133" s="170"/>
      <c r="L133" s="170"/>
      <c r="M133" s="170"/>
      <c r="N133" s="170"/>
      <c r="O133" s="170"/>
      <c r="P133" s="172"/>
      <c r="Q133" s="385">
        <f t="shared" si="18"/>
        <v>1.275</v>
      </c>
      <c r="R133" s="382"/>
      <c r="S133" s="174">
        <v>16</v>
      </c>
    </row>
    <row r="134" spans="1:19" ht="12.75">
      <c r="A134" s="432" t="s">
        <v>300</v>
      </c>
      <c r="B134" s="419" t="e">
        <v>#N/A</v>
      </c>
      <c r="C134" s="170">
        <v>25</v>
      </c>
      <c r="D134" s="29" t="e">
        <f t="shared" si="13"/>
        <v>#N/A</v>
      </c>
      <c r="E134" s="29" t="e">
        <f t="shared" si="19"/>
        <v>#N/A</v>
      </c>
      <c r="F134" s="29">
        <v>25</v>
      </c>
      <c r="G134" s="29">
        <f>$D$199*F134</f>
        <v>21.25</v>
      </c>
      <c r="H134" s="170">
        <v>7.5</v>
      </c>
      <c r="I134" s="170"/>
      <c r="J134" s="170"/>
      <c r="K134" s="170"/>
      <c r="L134" s="170"/>
      <c r="M134" s="170"/>
      <c r="N134" s="170"/>
      <c r="O134" s="170"/>
      <c r="P134" s="172"/>
      <c r="Q134" s="385">
        <f t="shared" si="18"/>
        <v>14.375</v>
      </c>
      <c r="R134" s="382"/>
      <c r="S134" s="174" t="s">
        <v>448</v>
      </c>
    </row>
    <row r="135" spans="1:19" ht="12.75">
      <c r="A135" s="432" t="s">
        <v>302</v>
      </c>
      <c r="B135" s="419" t="e">
        <v>#N/A</v>
      </c>
      <c r="C135" s="170">
        <v>3</v>
      </c>
      <c r="D135" s="29" t="e">
        <f t="shared" si="13"/>
        <v>#N/A</v>
      </c>
      <c r="E135" s="29" t="e">
        <f t="shared" si="19"/>
        <v>#N/A</v>
      </c>
      <c r="F135" s="29">
        <v>3</v>
      </c>
      <c r="G135" s="29">
        <f>$D$199*F135</f>
        <v>2.55</v>
      </c>
      <c r="H135" s="170"/>
      <c r="I135" s="170"/>
      <c r="J135" s="170"/>
      <c r="K135" s="170"/>
      <c r="L135" s="170"/>
      <c r="M135" s="170"/>
      <c r="N135" s="170"/>
      <c r="O135" s="170"/>
      <c r="P135" s="172"/>
      <c r="Q135" s="385">
        <f t="shared" si="18"/>
        <v>2.55</v>
      </c>
      <c r="R135" s="382"/>
      <c r="S135" s="174">
        <v>16</v>
      </c>
    </row>
    <row r="136" spans="1:19" ht="12.75">
      <c r="A136" s="432" t="s">
        <v>301</v>
      </c>
      <c r="B136" s="419" t="e">
        <v>#N/A</v>
      </c>
      <c r="C136" s="170">
        <v>5</v>
      </c>
      <c r="D136" s="29" t="e">
        <f t="shared" si="13"/>
        <v>#N/A</v>
      </c>
      <c r="E136" s="29" t="e">
        <f t="shared" si="19"/>
        <v>#N/A</v>
      </c>
      <c r="F136" s="29">
        <v>5</v>
      </c>
      <c r="G136" s="29">
        <f>$D$199*F136</f>
        <v>4.25</v>
      </c>
      <c r="H136" s="170"/>
      <c r="I136" s="170"/>
      <c r="J136" s="170"/>
      <c r="K136" s="170"/>
      <c r="L136" s="170"/>
      <c r="M136" s="170"/>
      <c r="N136" s="170"/>
      <c r="O136" s="170"/>
      <c r="P136" s="172"/>
      <c r="Q136" s="385">
        <f t="shared" si="18"/>
        <v>4.25</v>
      </c>
      <c r="R136" s="382"/>
      <c r="S136" s="174">
        <v>16</v>
      </c>
    </row>
    <row r="137" spans="1:19" ht="12.75">
      <c r="A137" s="432" t="s">
        <v>303</v>
      </c>
      <c r="B137" s="419" t="e">
        <v>#N/A</v>
      </c>
      <c r="C137" s="170" t="e">
        <v>#N/A</v>
      </c>
      <c r="D137" s="29" t="e">
        <f t="shared" si="13"/>
        <v>#N/A</v>
      </c>
      <c r="E137" s="29" t="e">
        <f t="shared" si="19"/>
        <v>#N/A</v>
      </c>
      <c r="F137" s="29"/>
      <c r="G137" s="29">
        <f>AVERAGE(Q129:Q136)</f>
        <v>3.254020833333333</v>
      </c>
      <c r="H137" s="170"/>
      <c r="I137" s="170"/>
      <c r="J137" s="170"/>
      <c r="K137" s="170"/>
      <c r="L137" s="170"/>
      <c r="M137" s="170"/>
      <c r="N137" s="170"/>
      <c r="O137" s="170"/>
      <c r="P137" s="172"/>
      <c r="Q137" s="385">
        <f t="shared" si="18"/>
        <v>3.254020833333333</v>
      </c>
      <c r="R137" s="382" t="s">
        <v>480</v>
      </c>
      <c r="S137" s="174">
        <v>16</v>
      </c>
    </row>
    <row r="138" spans="1:19" ht="12.75">
      <c r="A138" s="432" t="s">
        <v>677</v>
      </c>
      <c r="B138" s="419"/>
      <c r="C138" s="170"/>
      <c r="D138" s="29"/>
      <c r="E138" s="29"/>
      <c r="F138" s="29"/>
      <c r="G138" s="29"/>
      <c r="H138" s="170"/>
      <c r="I138" s="170"/>
      <c r="J138" s="170"/>
      <c r="K138" s="170"/>
      <c r="L138" s="170"/>
      <c r="M138" s="170"/>
      <c r="N138" s="170"/>
      <c r="O138" s="170"/>
      <c r="P138" s="172"/>
      <c r="Q138" s="385">
        <f>J131*0.14</f>
        <v>0.04662000000000001</v>
      </c>
      <c r="R138" s="382"/>
      <c r="S138" s="174">
        <v>57</v>
      </c>
    </row>
    <row r="139" spans="1:19" ht="12.75">
      <c r="A139" s="432" t="s">
        <v>678</v>
      </c>
      <c r="B139" s="419"/>
      <c r="C139" s="170"/>
      <c r="D139" s="29"/>
      <c r="E139" s="29"/>
      <c r="F139" s="29"/>
      <c r="G139" s="29"/>
      <c r="H139" s="170"/>
      <c r="I139" s="170"/>
      <c r="J139" s="170"/>
      <c r="K139" s="170"/>
      <c r="L139" s="170"/>
      <c r="M139" s="170"/>
      <c r="N139" s="170"/>
      <c r="O139" s="170"/>
      <c r="P139" s="172"/>
      <c r="Q139" s="385">
        <f>AVERAGE(Q135:Q136)*0.38</f>
        <v>1.292</v>
      </c>
      <c r="R139" s="382"/>
      <c r="S139" s="174"/>
    </row>
    <row r="140" spans="1:19" ht="12.75">
      <c r="A140" s="432" t="s">
        <v>304</v>
      </c>
      <c r="B140" s="419" t="e">
        <v>#N/A</v>
      </c>
      <c r="C140" s="170" t="e">
        <v>#N/A</v>
      </c>
      <c r="D140" s="29" t="e">
        <f t="shared" si="13"/>
        <v>#N/A</v>
      </c>
      <c r="E140" s="29" t="e">
        <f>$D$198*B140</f>
        <v>#N/A</v>
      </c>
      <c r="F140" s="29"/>
      <c r="G140" s="29"/>
      <c r="H140" s="170">
        <v>0.3125</v>
      </c>
      <c r="I140" s="170"/>
      <c r="J140" s="170"/>
      <c r="K140" s="170"/>
      <c r="L140" s="170"/>
      <c r="M140" s="170"/>
      <c r="N140" s="170"/>
      <c r="O140" s="170"/>
      <c r="P140" s="172"/>
      <c r="Q140" s="385">
        <f t="shared" si="18"/>
        <v>0.3125</v>
      </c>
      <c r="R140" s="382"/>
      <c r="S140" s="174">
        <v>6</v>
      </c>
    </row>
    <row r="141" spans="1:19" ht="12.75">
      <c r="A141" s="432" t="s">
        <v>664</v>
      </c>
      <c r="B141" s="419"/>
      <c r="C141" s="170"/>
      <c r="D141" s="29"/>
      <c r="E141" s="29"/>
      <c r="F141" s="29"/>
      <c r="G141" s="29"/>
      <c r="H141" s="170">
        <f>0.536*2.2</f>
        <v>1.1792000000000002</v>
      </c>
      <c r="I141" s="170"/>
      <c r="J141" s="170"/>
      <c r="K141" s="170"/>
      <c r="L141" s="170"/>
      <c r="M141" s="170"/>
      <c r="N141" s="170"/>
      <c r="O141" s="170"/>
      <c r="P141" s="172"/>
      <c r="Q141" s="385">
        <f t="shared" si="18"/>
        <v>1.1792000000000002</v>
      </c>
      <c r="R141" s="382"/>
      <c r="S141" s="174">
        <v>54</v>
      </c>
    </row>
    <row r="142" spans="1:19" ht="12.75">
      <c r="A142" s="432" t="s">
        <v>305</v>
      </c>
      <c r="B142" s="419" t="e">
        <v>#N/A</v>
      </c>
      <c r="C142" s="170" t="e">
        <v>#N/A</v>
      </c>
      <c r="D142" s="29" t="e">
        <f t="shared" si="13"/>
        <v>#N/A</v>
      </c>
      <c r="E142" s="29" t="e">
        <f>$D$198*B142</f>
        <v>#N/A</v>
      </c>
      <c r="F142" s="29"/>
      <c r="G142" s="29"/>
      <c r="H142" s="170">
        <v>3.5</v>
      </c>
      <c r="I142" s="170"/>
      <c r="J142" s="170"/>
      <c r="K142" s="170"/>
      <c r="L142" s="170"/>
      <c r="M142" s="170"/>
      <c r="N142" s="170"/>
      <c r="O142" s="170"/>
      <c r="P142" s="172"/>
      <c r="Q142" s="385">
        <f t="shared" si="18"/>
        <v>3.5</v>
      </c>
      <c r="R142" s="382"/>
      <c r="S142" s="174">
        <v>46</v>
      </c>
    </row>
    <row r="143" spans="1:19" ht="12.75">
      <c r="A143" s="432" t="s">
        <v>306</v>
      </c>
      <c r="B143" s="419" t="e">
        <v>#N/A</v>
      </c>
      <c r="C143" s="170" t="e">
        <v>#N/A</v>
      </c>
      <c r="D143" s="29" t="e">
        <f t="shared" si="13"/>
        <v>#N/A</v>
      </c>
      <c r="E143" s="29" t="e">
        <f>$D$198*B143</f>
        <v>#N/A</v>
      </c>
      <c r="F143" s="29"/>
      <c r="G143" s="348">
        <f>F143*2.2046</f>
        <v>0</v>
      </c>
      <c r="H143" s="170">
        <v>3</v>
      </c>
      <c r="I143" s="170"/>
      <c r="J143" s="170"/>
      <c r="K143" s="170"/>
      <c r="L143" s="170"/>
      <c r="M143" s="170"/>
      <c r="N143" s="170"/>
      <c r="O143" s="170"/>
      <c r="P143" s="172"/>
      <c r="Q143" s="385">
        <f t="shared" si="18"/>
        <v>1.5</v>
      </c>
      <c r="R143" s="382" t="s">
        <v>481</v>
      </c>
      <c r="S143" s="174">
        <v>45</v>
      </c>
    </row>
    <row r="144" spans="1:19" ht="12.75">
      <c r="A144" s="432" t="s">
        <v>307</v>
      </c>
      <c r="B144" s="419" t="e">
        <v>#N/A</v>
      </c>
      <c r="C144" s="170" t="e">
        <v>#N/A</v>
      </c>
      <c r="D144" s="29" t="e">
        <f t="shared" si="13"/>
        <v>#N/A</v>
      </c>
      <c r="E144" s="29" t="e">
        <f>$D$198*B144</f>
        <v>#N/A</v>
      </c>
      <c r="F144" s="29"/>
      <c r="G144" s="29"/>
      <c r="H144" s="170">
        <v>3</v>
      </c>
      <c r="I144" s="170"/>
      <c r="J144" s="170"/>
      <c r="K144" s="170"/>
      <c r="L144" s="170"/>
      <c r="M144" s="170"/>
      <c r="N144" s="170"/>
      <c r="O144" s="170"/>
      <c r="P144" s="172"/>
      <c r="Q144" s="385">
        <f t="shared" si="18"/>
        <v>3</v>
      </c>
      <c r="R144" s="382" t="s">
        <v>481</v>
      </c>
      <c r="S144" s="174">
        <v>45</v>
      </c>
    </row>
    <row r="145" spans="1:19" ht="12.75">
      <c r="A145" s="432" t="s">
        <v>650</v>
      </c>
      <c r="B145" s="419"/>
      <c r="C145" s="170"/>
      <c r="D145" s="29"/>
      <c r="E145" s="29"/>
      <c r="F145" s="29"/>
      <c r="G145" s="29"/>
      <c r="H145" s="170"/>
      <c r="I145" s="170"/>
      <c r="J145" s="170"/>
      <c r="K145" s="170"/>
      <c r="L145" s="170"/>
      <c r="M145" s="170"/>
      <c r="N145" s="170"/>
      <c r="O145" s="170"/>
      <c r="P145" s="172"/>
      <c r="Q145" s="385">
        <v>2.024</v>
      </c>
      <c r="R145" s="382" t="s">
        <v>683</v>
      </c>
      <c r="S145" s="174">
        <v>60</v>
      </c>
    </row>
    <row r="146" spans="1:19" ht="12.75">
      <c r="A146" s="432" t="s">
        <v>663</v>
      </c>
      <c r="B146" s="419"/>
      <c r="C146" s="170"/>
      <c r="D146" s="29"/>
      <c r="E146" s="29"/>
      <c r="F146" s="29"/>
      <c r="G146" s="29"/>
      <c r="H146" s="170"/>
      <c r="I146" s="170"/>
      <c r="J146" s="170"/>
      <c r="K146" s="170"/>
      <c r="L146" s="170"/>
      <c r="M146" s="170"/>
      <c r="N146" s="170"/>
      <c r="O146" s="170"/>
      <c r="P146" s="172"/>
      <c r="Q146" s="385">
        <f>AVERAGE(Q143:Q145)*0.2125</f>
        <v>0.4621166666666666</v>
      </c>
      <c r="R146" s="382"/>
      <c r="S146" s="174" t="s">
        <v>681</v>
      </c>
    </row>
    <row r="147" spans="1:19" ht="12.75">
      <c r="A147" s="432" t="s">
        <v>308</v>
      </c>
      <c r="B147" s="419" t="e">
        <v>#N/A</v>
      </c>
      <c r="C147" s="170" t="e">
        <v>#N/A</v>
      </c>
      <c r="D147" s="29" t="e">
        <f t="shared" si="13"/>
        <v>#N/A</v>
      </c>
      <c r="E147" s="29" t="e">
        <f>$D$198*B147</f>
        <v>#N/A</v>
      </c>
      <c r="F147" s="29"/>
      <c r="G147" s="29"/>
      <c r="H147" s="170">
        <v>0.02</v>
      </c>
      <c r="I147" s="170"/>
      <c r="J147" s="170"/>
      <c r="K147" s="170"/>
      <c r="L147" s="170"/>
      <c r="M147" s="170"/>
      <c r="N147" s="170"/>
      <c r="O147" s="170"/>
      <c r="P147" s="172"/>
      <c r="Q147" s="385">
        <f t="shared" si="18"/>
        <v>0.02</v>
      </c>
      <c r="R147" s="382" t="s">
        <v>451</v>
      </c>
      <c r="S147" s="174">
        <v>21</v>
      </c>
    </row>
    <row r="148" spans="1:19" ht="12.75">
      <c r="A148" s="432" t="s">
        <v>665</v>
      </c>
      <c r="B148" s="419"/>
      <c r="C148" s="170"/>
      <c r="D148" s="29"/>
      <c r="E148" s="29"/>
      <c r="F148" s="29"/>
      <c r="G148" s="29"/>
      <c r="H148" s="170">
        <f>11.8*2.2</f>
        <v>25.960000000000004</v>
      </c>
      <c r="I148" s="170"/>
      <c r="J148" s="170"/>
      <c r="K148" s="170"/>
      <c r="L148" s="170"/>
      <c r="M148" s="170"/>
      <c r="N148" s="170"/>
      <c r="O148" s="170"/>
      <c r="P148" s="172"/>
      <c r="Q148" s="385">
        <f t="shared" si="18"/>
        <v>25.960000000000004</v>
      </c>
      <c r="R148" s="382" t="s">
        <v>671</v>
      </c>
      <c r="S148" s="174">
        <v>55</v>
      </c>
    </row>
    <row r="149" spans="1:19" ht="12.75">
      <c r="A149" s="432" t="s">
        <v>309</v>
      </c>
      <c r="B149" s="419" t="e">
        <v>#N/A</v>
      </c>
      <c r="C149" s="170" t="e">
        <v>#N/A</v>
      </c>
      <c r="D149" s="29" t="e">
        <f t="shared" si="13"/>
        <v>#N/A</v>
      </c>
      <c r="E149" s="29" t="e">
        <f aca="true" t="shared" si="20" ref="E149:E165">$D$198*B149</f>
        <v>#N/A</v>
      </c>
      <c r="F149" s="29"/>
      <c r="G149" s="29"/>
      <c r="H149" s="170">
        <v>0.0140625</v>
      </c>
      <c r="I149" s="170">
        <v>0.03306878306878307</v>
      </c>
      <c r="J149" s="170">
        <f>7/280</f>
        <v>0.025</v>
      </c>
      <c r="K149" s="170"/>
      <c r="L149" s="170"/>
      <c r="M149" s="170"/>
      <c r="N149" s="170"/>
      <c r="O149" s="170"/>
      <c r="P149" s="172"/>
      <c r="Q149" s="385">
        <f t="shared" si="18"/>
        <v>0.024043761022927688</v>
      </c>
      <c r="R149" s="382" t="s">
        <v>452</v>
      </c>
      <c r="S149" s="174" t="s">
        <v>18</v>
      </c>
    </row>
    <row r="150" spans="1:19" ht="12.75">
      <c r="A150" s="432" t="s">
        <v>310</v>
      </c>
      <c r="B150" s="419" t="e">
        <v>#N/A</v>
      </c>
      <c r="C150" s="170" t="e">
        <v>#N/A</v>
      </c>
      <c r="D150" s="29" t="e">
        <f t="shared" si="13"/>
        <v>#N/A</v>
      </c>
      <c r="E150" s="29" t="e">
        <f t="shared" si="20"/>
        <v>#N/A</v>
      </c>
      <c r="F150" s="29"/>
      <c r="G150" s="29"/>
      <c r="H150" s="170">
        <f>1/((60+80)/2)</f>
        <v>0.014285714285714285</v>
      </c>
      <c r="I150" s="170">
        <f>1/((60+100)/2)</f>
        <v>0.0125</v>
      </c>
      <c r="J150" s="170">
        <f>1/100</f>
        <v>0.01</v>
      </c>
      <c r="K150" s="170"/>
      <c r="L150" s="170"/>
      <c r="M150" s="170"/>
      <c r="N150" s="170"/>
      <c r="O150" s="170"/>
      <c r="P150" s="172"/>
      <c r="Q150" s="385">
        <f t="shared" si="18"/>
        <v>0.012261904761904764</v>
      </c>
      <c r="R150" s="382" t="s">
        <v>452</v>
      </c>
      <c r="S150" s="174" t="s">
        <v>112</v>
      </c>
    </row>
    <row r="151" spans="1:19" ht="12.75">
      <c r="A151" s="432" t="s">
        <v>311</v>
      </c>
      <c r="B151" s="419" t="e">
        <v>#N/A</v>
      </c>
      <c r="C151" s="170" t="e">
        <v>#N/A</v>
      </c>
      <c r="D151" s="29" t="e">
        <f t="shared" si="13"/>
        <v>#N/A</v>
      </c>
      <c r="E151" s="29" t="e">
        <f t="shared" si="20"/>
        <v>#N/A</v>
      </c>
      <c r="F151" s="29"/>
      <c r="G151" s="29"/>
      <c r="H151" s="170">
        <f>1/70</f>
        <v>0.014285714285714285</v>
      </c>
      <c r="I151" s="170"/>
      <c r="J151" s="170"/>
      <c r="K151" s="170"/>
      <c r="L151" s="170"/>
      <c r="M151" s="170"/>
      <c r="N151" s="170"/>
      <c r="O151" s="170"/>
      <c r="P151" s="172"/>
      <c r="Q151" s="385">
        <f t="shared" si="18"/>
        <v>0.014285714285714285</v>
      </c>
      <c r="R151" s="382" t="s">
        <v>452</v>
      </c>
      <c r="S151" s="174">
        <v>83</v>
      </c>
    </row>
    <row r="152" spans="1:19" ht="12.75">
      <c r="A152" s="432" t="s">
        <v>312</v>
      </c>
      <c r="B152" s="419" t="e">
        <v>#N/A</v>
      </c>
      <c r="C152" s="170" t="e">
        <v>#N/A</v>
      </c>
      <c r="D152" s="29" t="e">
        <f t="shared" si="13"/>
        <v>#N/A</v>
      </c>
      <c r="E152" s="29" t="e">
        <f t="shared" si="20"/>
        <v>#N/A</v>
      </c>
      <c r="F152" s="29"/>
      <c r="G152" s="29"/>
      <c r="H152" s="170">
        <f>0.025*2.205</f>
        <v>0.05512500000000001</v>
      </c>
      <c r="I152" s="170">
        <f>1/((15+20)/2)</f>
        <v>0.05714285714285714</v>
      </c>
      <c r="J152" s="170"/>
      <c r="K152" s="170"/>
      <c r="L152" s="170"/>
      <c r="M152" s="170"/>
      <c r="N152" s="170"/>
      <c r="O152" s="170"/>
      <c r="P152" s="172"/>
      <c r="Q152" s="385">
        <f t="shared" si="18"/>
        <v>0.05613392857142857</v>
      </c>
      <c r="R152" s="382" t="s">
        <v>450</v>
      </c>
      <c r="S152" s="174" t="s">
        <v>113</v>
      </c>
    </row>
    <row r="153" spans="1:19" ht="12.75">
      <c r="A153" s="432" t="s">
        <v>323</v>
      </c>
      <c r="B153" s="419" t="e">
        <v>#N/A</v>
      </c>
      <c r="C153" s="170" t="e">
        <v>#N/A</v>
      </c>
      <c r="D153" s="29" t="e">
        <f>C153/B153</f>
        <v>#N/A</v>
      </c>
      <c r="E153" s="29" t="e">
        <f t="shared" si="20"/>
        <v>#N/A</v>
      </c>
      <c r="F153" s="29"/>
      <c r="G153" s="29"/>
      <c r="H153" s="170">
        <v>0.35</v>
      </c>
      <c r="I153" s="170"/>
      <c r="J153" s="170"/>
      <c r="K153" s="170"/>
      <c r="L153" s="170"/>
      <c r="M153" s="170"/>
      <c r="N153" s="170"/>
      <c r="O153" s="170"/>
      <c r="P153" s="172"/>
      <c r="Q153" s="385">
        <f>AVERAGEA(G153:J153)</f>
        <v>0.35</v>
      </c>
      <c r="R153" s="382"/>
      <c r="S153" s="174">
        <v>50</v>
      </c>
    </row>
    <row r="154" spans="1:19" ht="12.75">
      <c r="A154" s="432" t="s">
        <v>313</v>
      </c>
      <c r="B154" s="419" t="e">
        <v>#N/A</v>
      </c>
      <c r="C154" s="170" t="e">
        <v>#N/A</v>
      </c>
      <c r="D154" s="29" t="e">
        <f t="shared" si="13"/>
        <v>#N/A</v>
      </c>
      <c r="E154" s="29" t="e">
        <f t="shared" si="20"/>
        <v>#N/A</v>
      </c>
      <c r="F154" s="29"/>
      <c r="G154" s="29"/>
      <c r="H154" s="170">
        <f>(25/28.35)/16</f>
        <v>0.05511463844797178</v>
      </c>
      <c r="I154" s="170"/>
      <c r="J154" s="170"/>
      <c r="K154" s="170"/>
      <c r="L154" s="170"/>
      <c r="M154" s="170"/>
      <c r="N154" s="170"/>
      <c r="O154" s="170"/>
      <c r="P154" s="172"/>
      <c r="Q154" s="385">
        <f aca="true" t="shared" si="21" ref="Q154:Q165">AVERAGEA(G154:J154)</f>
        <v>0.05511463844797178</v>
      </c>
      <c r="R154" s="382" t="s">
        <v>483</v>
      </c>
      <c r="S154" s="174">
        <v>48</v>
      </c>
    </row>
    <row r="155" spans="1:19" ht="12.75">
      <c r="A155" s="432" t="s">
        <v>314</v>
      </c>
      <c r="B155" s="419" t="e">
        <v>#N/A</v>
      </c>
      <c r="C155" s="170" t="e">
        <v>#N/A</v>
      </c>
      <c r="D155" s="29" t="e">
        <f t="shared" si="13"/>
        <v>#N/A</v>
      </c>
      <c r="E155" s="29" t="e">
        <f t="shared" si="20"/>
        <v>#N/A</v>
      </c>
      <c r="F155" s="29"/>
      <c r="G155" s="29"/>
      <c r="H155" s="170">
        <f>(25/28.35)/16</f>
        <v>0.05511463844797178</v>
      </c>
      <c r="I155" s="170"/>
      <c r="J155" s="170"/>
      <c r="K155" s="170"/>
      <c r="L155" s="170"/>
      <c r="M155" s="170"/>
      <c r="N155" s="170"/>
      <c r="O155" s="170"/>
      <c r="P155" s="172"/>
      <c r="Q155" s="385">
        <f t="shared" si="21"/>
        <v>0.05511463844797178</v>
      </c>
      <c r="R155" s="382" t="s">
        <v>483</v>
      </c>
      <c r="S155" s="174">
        <v>48</v>
      </c>
    </row>
    <row r="156" spans="1:19" ht="12.75">
      <c r="A156" s="432" t="s">
        <v>315</v>
      </c>
      <c r="B156" s="419" t="e">
        <v>#N/A</v>
      </c>
      <c r="C156" s="170" t="e">
        <v>#N/A</v>
      </c>
      <c r="D156" s="29" t="e">
        <f t="shared" si="13"/>
        <v>#N/A</v>
      </c>
      <c r="E156" s="29" t="e">
        <f t="shared" si="20"/>
        <v>#N/A</v>
      </c>
      <c r="F156" s="29"/>
      <c r="G156" s="29"/>
      <c r="H156" s="170">
        <f>(25/28.35)/16</f>
        <v>0.05511463844797178</v>
      </c>
      <c r="I156" s="170"/>
      <c r="J156" s="170"/>
      <c r="K156" s="170"/>
      <c r="L156" s="170"/>
      <c r="M156" s="170"/>
      <c r="N156" s="170"/>
      <c r="O156" s="170"/>
      <c r="P156" s="172"/>
      <c r="Q156" s="385">
        <f t="shared" si="21"/>
        <v>0.05511463844797178</v>
      </c>
      <c r="R156" s="382" t="s">
        <v>483</v>
      </c>
      <c r="S156" s="174">
        <v>48</v>
      </c>
    </row>
    <row r="157" spans="1:19" ht="12.75">
      <c r="A157" s="432" t="s">
        <v>316</v>
      </c>
      <c r="B157" s="419" t="e">
        <v>#N/A</v>
      </c>
      <c r="C157" s="170" t="e">
        <v>#N/A</v>
      </c>
      <c r="D157" s="29" t="e">
        <f t="shared" si="13"/>
        <v>#N/A</v>
      </c>
      <c r="E157" s="29" t="e">
        <f t="shared" si="20"/>
        <v>#N/A</v>
      </c>
      <c r="F157" s="29"/>
      <c r="G157" s="29"/>
      <c r="H157" s="170">
        <f>(25/28.35)/16</f>
        <v>0.05511463844797178</v>
      </c>
      <c r="I157" s="170"/>
      <c r="J157" s="170"/>
      <c r="K157" s="170"/>
      <c r="L157" s="170"/>
      <c r="M157" s="170"/>
      <c r="N157" s="170"/>
      <c r="O157" s="170"/>
      <c r="P157" s="172"/>
      <c r="Q157" s="385">
        <f t="shared" si="21"/>
        <v>0.05511463844797178</v>
      </c>
      <c r="R157" s="382" t="s">
        <v>483</v>
      </c>
      <c r="S157" s="174">
        <v>48</v>
      </c>
    </row>
    <row r="158" spans="1:19" ht="12.75">
      <c r="A158" s="432" t="s">
        <v>317</v>
      </c>
      <c r="B158" s="419" t="e">
        <v>#N/A</v>
      </c>
      <c r="C158" s="170" t="e">
        <v>#N/A</v>
      </c>
      <c r="D158" s="29" t="e">
        <f t="shared" si="13"/>
        <v>#N/A</v>
      </c>
      <c r="E158" s="29" t="e">
        <f t="shared" si="20"/>
        <v>#N/A</v>
      </c>
      <c r="F158" s="29"/>
      <c r="G158" s="29"/>
      <c r="H158" s="170">
        <f>(25/28.35)/16</f>
        <v>0.05511463844797178</v>
      </c>
      <c r="I158" s="170"/>
      <c r="J158" s="170"/>
      <c r="K158" s="170"/>
      <c r="L158" s="170"/>
      <c r="M158" s="170"/>
      <c r="N158" s="170"/>
      <c r="O158" s="170"/>
      <c r="P158" s="172"/>
      <c r="Q158" s="385">
        <f t="shared" si="21"/>
        <v>0.05511463844797178</v>
      </c>
      <c r="R158" s="382" t="s">
        <v>483</v>
      </c>
      <c r="S158" s="174">
        <v>48</v>
      </c>
    </row>
    <row r="159" spans="1:19" ht="12.75">
      <c r="A159" s="432" t="s">
        <v>732</v>
      </c>
      <c r="B159" s="419"/>
      <c r="C159" s="170"/>
      <c r="D159" s="29"/>
      <c r="E159" s="29"/>
      <c r="F159" s="29"/>
      <c r="G159" s="29"/>
      <c r="H159" s="170">
        <f>AVERAGE(25,45)*2.2/1000</f>
        <v>0.077</v>
      </c>
      <c r="I159" s="170">
        <f>AVERAGE(7,15)*2.2/1000</f>
        <v>0.024200000000000003</v>
      </c>
      <c r="J159" s="170">
        <f>AVERAGE(20,30)*2.2/1000</f>
        <v>0.05500000000000001</v>
      </c>
      <c r="K159" s="170"/>
      <c r="L159" s="170"/>
      <c r="M159" s="170"/>
      <c r="N159" s="170"/>
      <c r="O159" s="170"/>
      <c r="P159" s="172"/>
      <c r="Q159" s="385">
        <f t="shared" si="21"/>
        <v>0.05206666666666667</v>
      </c>
      <c r="R159" s="382" t="s">
        <v>733</v>
      </c>
      <c r="S159" s="174">
        <v>67</v>
      </c>
    </row>
    <row r="160" spans="1:19" ht="12.75">
      <c r="A160" s="432" t="s">
        <v>318</v>
      </c>
      <c r="B160" s="419" t="e">
        <v>#N/A</v>
      </c>
      <c r="C160" s="170" t="e">
        <v>#N/A</v>
      </c>
      <c r="D160" s="29" t="e">
        <f t="shared" si="13"/>
        <v>#N/A</v>
      </c>
      <c r="E160" s="29" t="e">
        <f t="shared" si="20"/>
        <v>#N/A</v>
      </c>
      <c r="F160" s="29"/>
      <c r="G160" s="29"/>
      <c r="H160" s="170">
        <v>0.23</v>
      </c>
      <c r="I160" s="170"/>
      <c r="J160" s="170"/>
      <c r="K160" s="170"/>
      <c r="L160" s="170"/>
      <c r="M160" s="170"/>
      <c r="N160" s="170"/>
      <c r="O160" s="170"/>
      <c r="P160" s="172"/>
      <c r="Q160" s="385">
        <f t="shared" si="21"/>
        <v>0.23</v>
      </c>
      <c r="R160" s="382"/>
      <c r="S160" s="174">
        <v>51</v>
      </c>
    </row>
    <row r="161" spans="1:19" ht="12.75">
      <c r="A161" s="432" t="s">
        <v>319</v>
      </c>
      <c r="B161" s="419" t="e">
        <v>#N/A</v>
      </c>
      <c r="C161" s="170" t="e">
        <v>#N/A</v>
      </c>
      <c r="D161" s="29" t="e">
        <f t="shared" si="13"/>
        <v>#N/A</v>
      </c>
      <c r="E161" s="29" t="e">
        <f t="shared" si="20"/>
        <v>#N/A</v>
      </c>
      <c r="F161" s="29"/>
      <c r="G161" s="29"/>
      <c r="H161" s="170">
        <v>0.147</v>
      </c>
      <c r="I161" s="170">
        <f>0.205*2.205</f>
        <v>0.452025</v>
      </c>
      <c r="J161" s="170"/>
      <c r="K161" s="170"/>
      <c r="L161" s="170"/>
      <c r="M161" s="170"/>
      <c r="N161" s="170"/>
      <c r="O161" s="170"/>
      <c r="P161" s="172"/>
      <c r="Q161" s="385">
        <f t="shared" si="21"/>
        <v>0.2995125</v>
      </c>
      <c r="R161" s="382"/>
      <c r="S161" s="174" t="s">
        <v>486</v>
      </c>
    </row>
    <row r="162" spans="1:19" ht="12.75">
      <c r="A162" s="432" t="s">
        <v>320</v>
      </c>
      <c r="B162" s="419" t="e">
        <v>#N/A</v>
      </c>
      <c r="C162" s="170" t="e">
        <v>#N/A</v>
      </c>
      <c r="D162" s="29" t="e">
        <f t="shared" si="13"/>
        <v>#N/A</v>
      </c>
      <c r="E162" s="29" t="e">
        <f t="shared" si="20"/>
        <v>#N/A</v>
      </c>
      <c r="F162" s="29"/>
      <c r="G162" s="29"/>
      <c r="H162" s="170">
        <v>0.153</v>
      </c>
      <c r="I162" s="170"/>
      <c r="J162" s="170"/>
      <c r="K162" s="170"/>
      <c r="L162" s="170"/>
      <c r="M162" s="170"/>
      <c r="N162" s="170"/>
      <c r="O162" s="170"/>
      <c r="P162" s="172"/>
      <c r="Q162" s="385">
        <f t="shared" si="21"/>
        <v>0.153</v>
      </c>
      <c r="R162" s="382" t="s">
        <v>485</v>
      </c>
      <c r="S162" s="174">
        <v>50</v>
      </c>
    </row>
    <row r="163" spans="1:19" ht="12.75">
      <c r="A163" s="432" t="s">
        <v>328</v>
      </c>
      <c r="B163" s="419" t="e">
        <v>#N/A</v>
      </c>
      <c r="C163" s="170" t="e">
        <v>#N/A</v>
      </c>
      <c r="D163" s="29" t="e">
        <f t="shared" si="13"/>
        <v>#N/A</v>
      </c>
      <c r="E163" s="29" t="e">
        <f t="shared" si="20"/>
        <v>#N/A</v>
      </c>
      <c r="F163" s="29"/>
      <c r="G163" s="29"/>
      <c r="H163" s="170">
        <v>0.147</v>
      </c>
      <c r="I163" s="170"/>
      <c r="J163" s="170"/>
      <c r="K163" s="170"/>
      <c r="L163" s="170"/>
      <c r="M163" s="170"/>
      <c r="N163" s="170"/>
      <c r="O163" s="170"/>
      <c r="P163" s="172"/>
      <c r="Q163" s="385">
        <f t="shared" si="21"/>
        <v>0.147</v>
      </c>
      <c r="R163" s="382"/>
      <c r="S163" s="174">
        <v>51</v>
      </c>
    </row>
    <row r="164" spans="1:19" ht="12.75">
      <c r="A164" s="432" t="s">
        <v>329</v>
      </c>
      <c r="B164" s="419" t="e">
        <v>#N/A</v>
      </c>
      <c r="C164" s="170" t="e">
        <v>#N/A</v>
      </c>
      <c r="D164" s="29" t="e">
        <f t="shared" si="13"/>
        <v>#N/A</v>
      </c>
      <c r="E164" s="29" t="e">
        <f t="shared" si="20"/>
        <v>#N/A</v>
      </c>
      <c r="F164" s="29"/>
      <c r="G164" s="29"/>
      <c r="H164" s="170">
        <v>0.153</v>
      </c>
      <c r="I164" s="170"/>
      <c r="J164" s="170"/>
      <c r="K164" s="170"/>
      <c r="L164" s="170"/>
      <c r="M164" s="170"/>
      <c r="N164" s="170"/>
      <c r="O164" s="170"/>
      <c r="P164" s="172"/>
      <c r="Q164" s="385">
        <f t="shared" si="21"/>
        <v>0.153</v>
      </c>
      <c r="R164" s="382" t="s">
        <v>485</v>
      </c>
      <c r="S164" s="174">
        <v>50</v>
      </c>
    </row>
    <row r="165" spans="1:19" ht="13.5" thickBot="1">
      <c r="A165" s="433" t="s">
        <v>321</v>
      </c>
      <c r="B165" s="420" t="e">
        <v>#N/A</v>
      </c>
      <c r="C165" s="175" t="e">
        <v>#N/A</v>
      </c>
      <c r="D165" s="176" t="e">
        <f t="shared" si="13"/>
        <v>#N/A</v>
      </c>
      <c r="E165" s="176" t="e">
        <f t="shared" si="20"/>
        <v>#N/A</v>
      </c>
      <c r="F165" s="176"/>
      <c r="G165" s="176"/>
      <c r="H165" s="175">
        <f>SUM(Commerical!C157:H212)*1000/SUM(Commerical!I157:N212)</f>
        <v>0.11863866328675503</v>
      </c>
      <c r="I165" s="175"/>
      <c r="J165" s="175"/>
      <c r="K165" s="175"/>
      <c r="L165" s="175"/>
      <c r="M165" s="175"/>
      <c r="N165" s="175"/>
      <c r="O165" s="175"/>
      <c r="P165" s="379"/>
      <c r="Q165" s="386">
        <f t="shared" si="21"/>
        <v>0.11863866328675503</v>
      </c>
      <c r="R165" s="389" t="s">
        <v>626</v>
      </c>
      <c r="S165" s="177"/>
    </row>
    <row r="166" spans="1:19" ht="13.5" thickBot="1">
      <c r="A166" s="38"/>
      <c r="B166" s="173"/>
      <c r="C166" s="173"/>
      <c r="D166" s="40"/>
      <c r="E166" s="40"/>
      <c r="F166" s="40"/>
      <c r="G166" s="40"/>
      <c r="H166" s="173"/>
      <c r="I166" s="173"/>
      <c r="J166" s="173"/>
      <c r="K166" s="173"/>
      <c r="L166" s="173"/>
      <c r="M166" s="173"/>
      <c r="N166" s="173"/>
      <c r="O166" s="173"/>
      <c r="P166" s="173"/>
      <c r="Q166" s="173"/>
      <c r="R166" s="178"/>
      <c r="S166" s="178"/>
    </row>
    <row r="167" spans="1:19" ht="12.75">
      <c r="A167" s="38"/>
      <c r="B167" s="173"/>
      <c r="C167" s="173"/>
      <c r="D167" s="40"/>
      <c r="E167" s="40"/>
      <c r="F167" s="40"/>
      <c r="G167" s="40"/>
      <c r="H167" s="173"/>
      <c r="I167" s="173"/>
      <c r="J167" s="173"/>
      <c r="K167" s="595" t="s">
        <v>148</v>
      </c>
      <c r="L167" s="596"/>
      <c r="M167" s="597"/>
      <c r="N167" s="173"/>
      <c r="O167" s="173"/>
      <c r="P167" s="173"/>
      <c r="Q167" s="173"/>
      <c r="R167" s="178"/>
      <c r="S167" s="178"/>
    </row>
    <row r="168" spans="1:19" ht="14.25" thickBot="1">
      <c r="A168" s="14" t="s">
        <v>85</v>
      </c>
      <c r="B168" s="37"/>
      <c r="C168" s="37"/>
      <c r="D168" s="37"/>
      <c r="E168" s="37"/>
      <c r="F168" s="37"/>
      <c r="G168" s="37"/>
      <c r="H168" s="37"/>
      <c r="I168" s="37"/>
      <c r="J168" s="37"/>
      <c r="K168" s="392" t="s">
        <v>149</v>
      </c>
      <c r="L168" s="349" t="s">
        <v>150</v>
      </c>
      <c r="M168" s="393" t="s">
        <v>151</v>
      </c>
      <c r="N168" s="37"/>
      <c r="O168" s="37"/>
      <c r="P168" s="37"/>
      <c r="Q168" s="37" t="s">
        <v>139</v>
      </c>
      <c r="R168" s="164"/>
      <c r="S168" s="164"/>
    </row>
    <row r="169" spans="1:19" ht="13.5" thickBot="1">
      <c r="A169" s="443" t="s">
        <v>25</v>
      </c>
      <c r="B169" s="444"/>
      <c r="C169" s="444"/>
      <c r="D169" s="445"/>
      <c r="E169" s="445"/>
      <c r="F169" s="445"/>
      <c r="G169" s="445"/>
      <c r="H169" s="444"/>
      <c r="I169" s="444"/>
      <c r="J169" s="446"/>
      <c r="K169" s="441">
        <v>10</v>
      </c>
      <c r="L169" s="150">
        <v>28.7</v>
      </c>
      <c r="M169" s="438">
        <f>AVERAGE(K169:L169)*0.00220462262</f>
        <v>0.042659447697</v>
      </c>
      <c r="N169" s="453"/>
      <c r="O169" s="454"/>
      <c r="P169" s="446"/>
      <c r="Q169" s="384">
        <f>M169</f>
        <v>0.042659447697</v>
      </c>
      <c r="R169" s="164"/>
      <c r="S169" s="164"/>
    </row>
    <row r="170" spans="1:19" ht="13.5" thickBot="1">
      <c r="A170" s="408" t="s">
        <v>26</v>
      </c>
      <c r="B170" s="447"/>
      <c r="C170" s="447"/>
      <c r="D170" s="448"/>
      <c r="E170" s="448"/>
      <c r="F170" s="448"/>
      <c r="G170" s="448"/>
      <c r="H170" s="447"/>
      <c r="I170" s="447"/>
      <c r="J170" s="449"/>
      <c r="K170" s="423">
        <v>135</v>
      </c>
      <c r="L170" s="29">
        <v>340</v>
      </c>
      <c r="M170" s="424">
        <f aca="true" t="shared" si="22" ref="M170:M183">AVERAGE(K170:L170)*0.00220462262</f>
        <v>0.52359787225</v>
      </c>
      <c r="N170" s="455"/>
      <c r="O170" s="447"/>
      <c r="P170" s="449"/>
      <c r="Q170" s="384">
        <f aca="true" t="shared" si="23" ref="Q170:Q183">M170</f>
        <v>0.52359787225</v>
      </c>
      <c r="R170" s="164"/>
      <c r="S170" s="164"/>
    </row>
    <row r="171" spans="1:19" ht="13.5" thickBot="1">
      <c r="A171" s="408" t="s">
        <v>27</v>
      </c>
      <c r="B171" s="447"/>
      <c r="C171" s="447"/>
      <c r="D171" s="448"/>
      <c r="E171" s="448"/>
      <c r="F171" s="448"/>
      <c r="G171" s="448"/>
      <c r="H171" s="447"/>
      <c r="I171" s="447"/>
      <c r="J171" s="449"/>
      <c r="K171" s="423"/>
      <c r="L171" s="29"/>
      <c r="M171" s="424"/>
      <c r="N171" s="532" t="s">
        <v>86</v>
      </c>
      <c r="O171" s="447"/>
      <c r="P171" s="449"/>
      <c r="Q171" s="384">
        <f>Q47</f>
        <v>0.65448230675</v>
      </c>
      <c r="R171" s="442"/>
      <c r="S171" s="164"/>
    </row>
    <row r="172" spans="1:19" ht="13.5" thickBot="1">
      <c r="A172" s="408" t="s">
        <v>28</v>
      </c>
      <c r="B172" s="447"/>
      <c r="C172" s="447"/>
      <c r="D172" s="448"/>
      <c r="E172" s="448"/>
      <c r="F172" s="448"/>
      <c r="G172" s="448"/>
      <c r="H172" s="447"/>
      <c r="I172" s="447"/>
      <c r="J172" s="449"/>
      <c r="K172" s="423"/>
      <c r="L172" s="29"/>
      <c r="M172" s="424"/>
      <c r="N172" s="442" t="s">
        <v>86</v>
      </c>
      <c r="O172" s="447"/>
      <c r="P172" s="449"/>
      <c r="Q172" s="384">
        <f>Q44</f>
        <v>2.26635205336</v>
      </c>
      <c r="R172" s="442"/>
      <c r="S172" s="164"/>
    </row>
    <row r="173" spans="1:19" ht="13.5" thickBot="1">
      <c r="A173" s="408" t="s">
        <v>29</v>
      </c>
      <c r="B173" s="447"/>
      <c r="C173" s="447"/>
      <c r="D173" s="448"/>
      <c r="E173" s="448"/>
      <c r="F173" s="448"/>
      <c r="G173" s="448"/>
      <c r="H173" s="447"/>
      <c r="I173" s="447"/>
      <c r="J173" s="449"/>
      <c r="K173" s="423">
        <v>20</v>
      </c>
      <c r="L173" s="29">
        <v>22</v>
      </c>
      <c r="M173" s="424">
        <f t="shared" si="22"/>
        <v>0.04629707502</v>
      </c>
      <c r="N173" s="455"/>
      <c r="O173" s="447"/>
      <c r="P173" s="449"/>
      <c r="Q173" s="384">
        <f t="shared" si="23"/>
        <v>0.04629707502</v>
      </c>
      <c r="R173" s="164"/>
      <c r="S173" s="164"/>
    </row>
    <row r="174" spans="1:19" ht="13.5" thickBot="1">
      <c r="A174" s="408" t="s">
        <v>30</v>
      </c>
      <c r="B174" s="447"/>
      <c r="C174" s="447"/>
      <c r="D174" s="448"/>
      <c r="E174" s="448"/>
      <c r="F174" s="448"/>
      <c r="G174" s="448"/>
      <c r="H174" s="447"/>
      <c r="I174" s="447"/>
      <c r="J174" s="449"/>
      <c r="K174" s="423">
        <v>68.8</v>
      </c>
      <c r="L174" s="29">
        <v>127.2</v>
      </c>
      <c r="M174" s="424">
        <f t="shared" si="22"/>
        <v>0.21605301676</v>
      </c>
      <c r="N174" s="455"/>
      <c r="O174" s="447"/>
      <c r="P174" s="449"/>
      <c r="Q174" s="384">
        <f t="shared" si="23"/>
        <v>0.21605301676</v>
      </c>
      <c r="R174" s="164"/>
      <c r="S174" s="164"/>
    </row>
    <row r="175" spans="1:19" ht="13.5" thickBot="1">
      <c r="A175" s="408" t="s">
        <v>31</v>
      </c>
      <c r="B175" s="447"/>
      <c r="C175" s="447"/>
      <c r="D175" s="448"/>
      <c r="E175" s="448"/>
      <c r="F175" s="448"/>
      <c r="G175" s="448"/>
      <c r="H175" s="447"/>
      <c r="I175" s="447"/>
      <c r="J175" s="449"/>
      <c r="K175" s="423"/>
      <c r="L175" s="29"/>
      <c r="M175" s="424"/>
      <c r="N175" s="442" t="s">
        <v>86</v>
      </c>
      <c r="O175" s="447"/>
      <c r="P175" s="449"/>
      <c r="Q175" s="384">
        <f>Q91</f>
        <v>0.0611559826588</v>
      </c>
      <c r="R175" s="442"/>
      <c r="S175" s="164"/>
    </row>
    <row r="176" spans="1:19" ht="13.5" thickBot="1">
      <c r="A176" s="408" t="s">
        <v>32</v>
      </c>
      <c r="B176" s="447"/>
      <c r="C176" s="447"/>
      <c r="D176" s="448"/>
      <c r="E176" s="448"/>
      <c r="F176" s="448"/>
      <c r="G176" s="448"/>
      <c r="H176" s="447"/>
      <c r="I176" s="447"/>
      <c r="J176" s="449"/>
      <c r="K176" s="423">
        <v>16.6</v>
      </c>
      <c r="L176" s="29">
        <v>16.6</v>
      </c>
      <c r="M176" s="424">
        <f t="shared" si="22"/>
        <v>0.036596735492</v>
      </c>
      <c r="N176" s="455"/>
      <c r="O176" s="447"/>
      <c r="P176" s="449"/>
      <c r="Q176" s="384">
        <f t="shared" si="23"/>
        <v>0.036596735492</v>
      </c>
      <c r="R176" s="164"/>
      <c r="S176" s="164"/>
    </row>
    <row r="177" spans="1:19" ht="13.5" thickBot="1">
      <c r="A177" s="408" t="s">
        <v>33</v>
      </c>
      <c r="B177" s="447"/>
      <c r="C177" s="447"/>
      <c r="D177" s="448"/>
      <c r="E177" s="448"/>
      <c r="F177" s="448"/>
      <c r="G177" s="448"/>
      <c r="H177" s="447"/>
      <c r="I177" s="447"/>
      <c r="J177" s="449"/>
      <c r="K177" s="423">
        <v>10</v>
      </c>
      <c r="L177" s="29">
        <v>10</v>
      </c>
      <c r="M177" s="424">
        <f t="shared" si="22"/>
        <v>0.022046226199999998</v>
      </c>
      <c r="N177" s="455"/>
      <c r="O177" s="447"/>
      <c r="P177" s="449"/>
      <c r="Q177" s="384">
        <f t="shared" si="23"/>
        <v>0.022046226199999998</v>
      </c>
      <c r="R177" s="164"/>
      <c r="S177" s="164"/>
    </row>
    <row r="178" spans="1:19" ht="13.5" thickBot="1">
      <c r="A178" s="408" t="s">
        <v>40</v>
      </c>
      <c r="B178" s="447"/>
      <c r="C178" s="447"/>
      <c r="D178" s="448"/>
      <c r="E178" s="448"/>
      <c r="F178" s="448"/>
      <c r="G178" s="448"/>
      <c r="H178" s="447"/>
      <c r="I178" s="447"/>
      <c r="J178" s="449"/>
      <c r="K178" s="423"/>
      <c r="L178" s="29"/>
      <c r="M178" s="424"/>
      <c r="N178" s="532" t="s">
        <v>86</v>
      </c>
      <c r="O178" s="447"/>
      <c r="P178" s="449"/>
      <c r="Q178" s="384">
        <f>Q74</f>
        <v>0.23152450638995292</v>
      </c>
      <c r="R178" s="442"/>
      <c r="S178" s="164"/>
    </row>
    <row r="179" spans="1:19" ht="13.5" thickBot="1">
      <c r="A179" s="408" t="s">
        <v>34</v>
      </c>
      <c r="B179" s="447"/>
      <c r="C179" s="447"/>
      <c r="D179" s="448"/>
      <c r="E179" s="448"/>
      <c r="F179" s="448"/>
      <c r="G179" s="448"/>
      <c r="H179" s="447"/>
      <c r="I179" s="447"/>
      <c r="J179" s="449"/>
      <c r="K179" s="423"/>
      <c r="L179" s="29"/>
      <c r="M179" s="424"/>
      <c r="N179" s="442" t="s">
        <v>86</v>
      </c>
      <c r="O179" s="447"/>
      <c r="P179" s="449"/>
      <c r="Q179" s="384">
        <f>Q51</f>
        <v>0.3707029744827821</v>
      </c>
      <c r="R179" s="442"/>
      <c r="S179" s="164"/>
    </row>
    <row r="180" spans="1:19" ht="13.5" thickBot="1">
      <c r="A180" s="408" t="s">
        <v>35</v>
      </c>
      <c r="B180" s="447"/>
      <c r="C180" s="447"/>
      <c r="D180" s="448"/>
      <c r="E180" s="448"/>
      <c r="F180" s="448"/>
      <c r="G180" s="448"/>
      <c r="H180" s="447"/>
      <c r="I180" s="447"/>
      <c r="J180" s="449"/>
      <c r="K180" s="423">
        <v>27.1</v>
      </c>
      <c r="L180" s="29">
        <v>33.8</v>
      </c>
      <c r="M180" s="424">
        <f t="shared" si="22"/>
        <v>0.067130758779</v>
      </c>
      <c r="N180" s="455"/>
      <c r="O180" s="447"/>
      <c r="P180" s="449"/>
      <c r="Q180" s="384">
        <f t="shared" si="23"/>
        <v>0.067130758779</v>
      </c>
      <c r="R180" s="164"/>
      <c r="S180" s="164"/>
    </row>
    <row r="181" spans="1:19" ht="13.5" thickBot="1">
      <c r="A181" s="408" t="s">
        <v>36</v>
      </c>
      <c r="B181" s="447"/>
      <c r="C181" s="447"/>
      <c r="D181" s="448"/>
      <c r="E181" s="448"/>
      <c r="F181" s="448"/>
      <c r="G181" s="448"/>
      <c r="H181" s="447"/>
      <c r="I181" s="447"/>
      <c r="J181" s="449"/>
      <c r="K181" s="423"/>
      <c r="L181" s="29"/>
      <c r="M181" s="424"/>
      <c r="N181" s="442" t="s">
        <v>86</v>
      </c>
      <c r="O181" s="447"/>
      <c r="P181" s="449"/>
      <c r="Q181" s="384">
        <f>Q50</f>
        <v>0.5773905909343334</v>
      </c>
      <c r="R181" s="442"/>
      <c r="S181" s="164"/>
    </row>
    <row r="182" spans="1:19" ht="13.5" thickBot="1">
      <c r="A182" s="408" t="s">
        <v>37</v>
      </c>
      <c r="B182" s="447"/>
      <c r="C182" s="447"/>
      <c r="D182" s="448"/>
      <c r="E182" s="448"/>
      <c r="F182" s="448"/>
      <c r="G182" s="448"/>
      <c r="H182" s="447"/>
      <c r="I182" s="447"/>
      <c r="J182" s="449"/>
      <c r="K182" s="423">
        <v>19.9</v>
      </c>
      <c r="L182" s="29">
        <v>28.1</v>
      </c>
      <c r="M182" s="424">
        <f t="shared" si="22"/>
        <v>0.05291094288</v>
      </c>
      <c r="N182" s="455"/>
      <c r="O182" s="447"/>
      <c r="P182" s="449"/>
      <c r="Q182" s="384">
        <f t="shared" si="23"/>
        <v>0.05291094288</v>
      </c>
      <c r="R182" s="164"/>
      <c r="S182" s="164"/>
    </row>
    <row r="183" spans="1:19" ht="13.5" thickBot="1">
      <c r="A183" s="241" t="s">
        <v>38</v>
      </c>
      <c r="B183" s="450"/>
      <c r="C183" s="450"/>
      <c r="D183" s="451"/>
      <c r="E183" s="451"/>
      <c r="F183" s="451"/>
      <c r="G183" s="451"/>
      <c r="H183" s="450"/>
      <c r="I183" s="450"/>
      <c r="J183" s="452"/>
      <c r="K183" s="426">
        <v>209.6</v>
      </c>
      <c r="L183" s="176">
        <v>329.3</v>
      </c>
      <c r="M183" s="439">
        <f t="shared" si="22"/>
        <v>0.594035564959</v>
      </c>
      <c r="N183" s="456"/>
      <c r="O183" s="450"/>
      <c r="P183" s="452"/>
      <c r="Q183" s="440">
        <f t="shared" si="23"/>
        <v>0.594035564959</v>
      </c>
      <c r="R183" s="164"/>
      <c r="S183" s="164"/>
    </row>
    <row r="184" spans="1:19" ht="12.75">
      <c r="A184" s="38"/>
      <c r="B184" s="173"/>
      <c r="C184" s="173"/>
      <c r="D184" s="40"/>
      <c r="E184" s="40"/>
      <c r="F184" s="40"/>
      <c r="G184" s="40"/>
      <c r="H184" s="173"/>
      <c r="I184" s="173"/>
      <c r="J184" s="173"/>
      <c r="K184" s="173"/>
      <c r="L184" s="173"/>
      <c r="M184" s="173"/>
      <c r="N184" s="173"/>
      <c r="O184" s="173"/>
      <c r="P184" s="173"/>
      <c r="Q184" s="173"/>
      <c r="R184" s="178"/>
      <c r="S184" s="178"/>
    </row>
    <row r="185" spans="1:19" ht="12.75">
      <c r="A185" s="38"/>
      <c r="B185" s="173"/>
      <c r="C185" s="173"/>
      <c r="D185" s="40"/>
      <c r="E185" s="40"/>
      <c r="F185" s="40"/>
      <c r="G185" s="40"/>
      <c r="H185" s="173"/>
      <c r="I185" s="173"/>
      <c r="J185" s="173"/>
      <c r="K185" s="173"/>
      <c r="L185" s="173"/>
      <c r="M185" s="173"/>
      <c r="N185" s="173"/>
      <c r="O185" s="173"/>
      <c r="P185" s="173"/>
      <c r="Q185" s="173"/>
      <c r="R185" s="178"/>
      <c r="S185" s="178"/>
    </row>
    <row r="186" spans="1:19" ht="12.75">
      <c r="A186" s="38"/>
      <c r="B186" s="173"/>
      <c r="C186" s="173"/>
      <c r="D186" s="40"/>
      <c r="E186" s="40"/>
      <c r="F186" s="40"/>
      <c r="G186" s="40"/>
      <c r="H186" s="173"/>
      <c r="I186" s="173"/>
      <c r="J186" s="173"/>
      <c r="K186" s="173"/>
      <c r="L186" s="173"/>
      <c r="M186" s="173"/>
      <c r="N186" s="173"/>
      <c r="O186" s="173"/>
      <c r="P186" s="173"/>
      <c r="Q186" s="173"/>
      <c r="R186" s="178"/>
      <c r="S186" s="178"/>
    </row>
    <row r="187" spans="1:19" ht="12.75">
      <c r="A187" s="38"/>
      <c r="B187" s="173"/>
      <c r="C187" s="173"/>
      <c r="D187" s="40"/>
      <c r="E187" s="40"/>
      <c r="F187" s="40"/>
      <c r="G187" s="40"/>
      <c r="H187" s="173"/>
      <c r="I187" s="173"/>
      <c r="J187" s="173"/>
      <c r="K187" s="173"/>
      <c r="L187" s="173"/>
      <c r="M187" s="173"/>
      <c r="N187" s="173"/>
      <c r="O187" s="173"/>
      <c r="P187" s="173"/>
      <c r="Q187" s="173"/>
      <c r="R187" s="178"/>
      <c r="S187" s="178"/>
    </row>
    <row r="188" spans="1:19" ht="12.75">
      <c r="A188" s="38"/>
      <c r="B188" s="173"/>
      <c r="C188" s="173"/>
      <c r="D188" s="40"/>
      <c r="E188" s="40"/>
      <c r="F188" s="40"/>
      <c r="G188" s="40"/>
      <c r="H188" s="173"/>
      <c r="I188" s="173"/>
      <c r="J188" s="173"/>
      <c r="K188" s="173"/>
      <c r="L188" s="173"/>
      <c r="M188" s="173"/>
      <c r="N188" s="173"/>
      <c r="O188" s="173"/>
      <c r="P188" s="173"/>
      <c r="Q188" s="173"/>
      <c r="R188" s="178"/>
      <c r="S188" s="178"/>
    </row>
    <row r="190" spans="1:19" ht="14.25" thickBot="1">
      <c r="A190" s="14" t="s">
        <v>500</v>
      </c>
      <c r="B190" s="37" t="s">
        <v>368</v>
      </c>
      <c r="C190" s="37" t="s">
        <v>454</v>
      </c>
      <c r="D190" s="37" t="s">
        <v>584</v>
      </c>
      <c r="E190" s="37" t="s">
        <v>536</v>
      </c>
      <c r="F190" s="37" t="s">
        <v>458</v>
      </c>
      <c r="G190" s="37" t="s">
        <v>537</v>
      </c>
      <c r="H190" s="37" t="s">
        <v>388</v>
      </c>
      <c r="I190" s="37" t="s">
        <v>389</v>
      </c>
      <c r="J190" s="37" t="s">
        <v>413</v>
      </c>
      <c r="K190" s="37"/>
      <c r="L190" s="37"/>
      <c r="M190" s="37"/>
      <c r="N190" s="37"/>
      <c r="O190" s="37"/>
      <c r="P190" s="37"/>
      <c r="Q190" s="37" t="s">
        <v>139</v>
      </c>
      <c r="R190" s="14" t="s">
        <v>367</v>
      </c>
      <c r="S190" s="14" t="s">
        <v>366</v>
      </c>
    </row>
    <row r="191" spans="1:19" ht="12.75">
      <c r="A191" s="431" t="s">
        <v>469</v>
      </c>
      <c r="B191" s="428" t="e">
        <v>#N/A</v>
      </c>
      <c r="C191" s="165" t="e">
        <f aca="true" t="shared" si="24" ref="C191:G192">B191/A191</f>
        <v>#N/A</v>
      </c>
      <c r="D191" s="150" t="e">
        <f t="shared" si="24"/>
        <v>#N/A</v>
      </c>
      <c r="E191" s="150" t="e">
        <f t="shared" si="24"/>
        <v>#N/A</v>
      </c>
      <c r="F191" s="150" t="e">
        <f t="shared" si="24"/>
        <v>#N/A</v>
      </c>
      <c r="G191" s="150" t="e">
        <f t="shared" si="24"/>
        <v>#N/A</v>
      </c>
      <c r="H191" s="165">
        <v>1</v>
      </c>
      <c r="I191" s="165"/>
      <c r="J191" s="167"/>
      <c r="K191" s="167"/>
      <c r="L191" s="167"/>
      <c r="M191" s="167"/>
      <c r="N191" s="167"/>
      <c r="O191" s="167"/>
      <c r="P191" s="390"/>
      <c r="Q191" s="384">
        <f>AVERAGE(H191:J191)</f>
        <v>1</v>
      </c>
      <c r="R191" s="380"/>
      <c r="S191" s="168">
        <v>29</v>
      </c>
    </row>
    <row r="192" spans="1:19" ht="12.75">
      <c r="A192" s="432" t="s">
        <v>470</v>
      </c>
      <c r="B192" s="419" t="e">
        <v>#N/A</v>
      </c>
      <c r="C192" s="170" t="e">
        <f t="shared" si="24"/>
        <v>#N/A</v>
      </c>
      <c r="D192" s="29" t="e">
        <f t="shared" si="24"/>
        <v>#N/A</v>
      </c>
      <c r="E192" s="29" t="e">
        <f t="shared" si="24"/>
        <v>#N/A</v>
      </c>
      <c r="F192" s="29" t="e">
        <f t="shared" si="24"/>
        <v>#N/A</v>
      </c>
      <c r="G192" s="29" t="e">
        <f t="shared" si="24"/>
        <v>#N/A</v>
      </c>
      <c r="H192" s="170">
        <v>2</v>
      </c>
      <c r="I192" s="170">
        <v>3</v>
      </c>
      <c r="J192" s="170"/>
      <c r="K192" s="170"/>
      <c r="L192" s="170"/>
      <c r="M192" s="170"/>
      <c r="N192" s="170"/>
      <c r="O192" s="170"/>
      <c r="P192" s="172"/>
      <c r="Q192" s="385">
        <f>Q10</f>
        <v>7.5</v>
      </c>
      <c r="R192" s="381"/>
      <c r="S192" s="171" t="s">
        <v>474</v>
      </c>
    </row>
    <row r="193" spans="1:19" ht="12.75">
      <c r="A193" s="432" t="s">
        <v>471</v>
      </c>
      <c r="B193" s="419" t="e">
        <v>#N/A</v>
      </c>
      <c r="C193" s="170" t="e">
        <v>#N/A</v>
      </c>
      <c r="D193" s="29" t="e">
        <v>#N/A</v>
      </c>
      <c r="E193" s="29" t="e">
        <v>#N/A</v>
      </c>
      <c r="F193" s="29" t="e">
        <v>#N/A</v>
      </c>
      <c r="G193" s="29" t="e">
        <v>#N/A</v>
      </c>
      <c r="H193" s="170">
        <f>4.5*2.205</f>
        <v>9.9225</v>
      </c>
      <c r="I193" s="170"/>
      <c r="J193" s="170"/>
      <c r="K193" s="170"/>
      <c r="L193" s="170"/>
      <c r="M193" s="170"/>
      <c r="N193" s="170"/>
      <c r="O193" s="170"/>
      <c r="P193" s="172"/>
      <c r="Q193" s="385">
        <f>AVERAGE(Q69:Q73)</f>
        <v>10.945535551948998</v>
      </c>
      <c r="R193" s="381"/>
      <c r="S193" s="171">
        <v>29</v>
      </c>
    </row>
    <row r="194" spans="1:19" ht="12.75">
      <c r="A194" s="432" t="s">
        <v>134</v>
      </c>
      <c r="B194" s="419" t="e">
        <v>#N/A</v>
      </c>
      <c r="C194" s="170" t="e">
        <v>#N/A</v>
      </c>
      <c r="D194" s="29" t="e">
        <v>#N/A</v>
      </c>
      <c r="E194" s="29" t="e">
        <v>#N/A</v>
      </c>
      <c r="F194" s="29" t="e">
        <v>#N/A</v>
      </c>
      <c r="G194" s="29" t="e">
        <v>#N/A</v>
      </c>
      <c r="H194" s="170">
        <v>2.5</v>
      </c>
      <c r="I194" s="170">
        <v>1.442</v>
      </c>
      <c r="J194" s="347">
        <f>1.25*2.2046</f>
        <v>2.75575</v>
      </c>
      <c r="K194" s="170"/>
      <c r="L194" s="170"/>
      <c r="M194" s="170"/>
      <c r="N194" s="170"/>
      <c r="O194" s="170"/>
      <c r="P194" s="172"/>
      <c r="Q194" s="385">
        <f>Q97</f>
        <v>16.181504321066665</v>
      </c>
      <c r="R194" s="381"/>
      <c r="S194" s="171" t="s">
        <v>564</v>
      </c>
    </row>
    <row r="195" spans="1:19" ht="12.75">
      <c r="A195" s="432" t="s">
        <v>472</v>
      </c>
      <c r="B195" s="419" t="e">
        <v>#N/A</v>
      </c>
      <c r="C195" s="170" t="e">
        <v>#N/A</v>
      </c>
      <c r="D195" s="29" t="e">
        <v>#N/A</v>
      </c>
      <c r="E195" s="29" t="e">
        <v>#N/A</v>
      </c>
      <c r="F195" s="29" t="e">
        <v>#N/A</v>
      </c>
      <c r="G195" s="29" t="e">
        <v>#N/A</v>
      </c>
      <c r="H195" s="170">
        <v>1</v>
      </c>
      <c r="I195" s="170">
        <v>2</v>
      </c>
      <c r="J195" s="170"/>
      <c r="K195" s="170"/>
      <c r="L195" s="170"/>
      <c r="M195" s="170"/>
      <c r="N195" s="170"/>
      <c r="O195" s="170"/>
      <c r="P195" s="172"/>
      <c r="Q195" s="385">
        <f>AVERAGE(H195:J195)</f>
        <v>1.5</v>
      </c>
      <c r="R195" s="381"/>
      <c r="S195" s="171" t="s">
        <v>474</v>
      </c>
    </row>
    <row r="196" spans="1:19" ht="13.5" thickBot="1">
      <c r="A196" s="433" t="s">
        <v>473</v>
      </c>
      <c r="B196" s="420" t="e">
        <v>#N/A</v>
      </c>
      <c r="C196" s="175" t="e">
        <v>#N/A</v>
      </c>
      <c r="D196" s="176" t="e">
        <v>#N/A</v>
      </c>
      <c r="E196" s="176" t="e">
        <v>#N/A</v>
      </c>
      <c r="F196" s="176" t="e">
        <v>#N/A</v>
      </c>
      <c r="G196" s="176" t="e">
        <v>#N/A</v>
      </c>
      <c r="H196" s="175">
        <v>1.5</v>
      </c>
      <c r="I196" s="175"/>
      <c r="J196" s="175"/>
      <c r="K196" s="175"/>
      <c r="L196" s="175"/>
      <c r="M196" s="175"/>
      <c r="N196" s="175"/>
      <c r="O196" s="175"/>
      <c r="P196" s="379"/>
      <c r="Q196" s="386">
        <f>Q102</f>
        <v>10.770904068333332</v>
      </c>
      <c r="R196" s="391"/>
      <c r="S196" s="180">
        <v>31</v>
      </c>
    </row>
    <row r="197" spans="1:19" ht="12.75">
      <c r="A197" s="38"/>
      <c r="B197" s="173"/>
      <c r="C197" s="173"/>
      <c r="D197" s="40"/>
      <c r="E197" s="40"/>
      <c r="F197" s="40"/>
      <c r="G197" s="40"/>
      <c r="H197" s="173"/>
      <c r="I197" s="173"/>
      <c r="J197" s="173"/>
      <c r="K197" s="173"/>
      <c r="L197" s="173"/>
      <c r="M197" s="173"/>
      <c r="N197" s="173"/>
      <c r="O197" s="173"/>
      <c r="P197" s="173"/>
      <c r="Q197" s="173"/>
      <c r="R197" s="178"/>
      <c r="S197" s="178"/>
    </row>
    <row r="198" spans="1:19" ht="13.5">
      <c r="A198" s="24"/>
      <c r="C198" s="32" t="s">
        <v>535</v>
      </c>
      <c r="D198" s="27">
        <f>AVERAGE(D6,D12,D17,D38,D45,D59,D67,D69,D73,D97,D103)</f>
        <v>0.7431018438776547</v>
      </c>
      <c r="F198" s="164"/>
      <c r="G198" s="164"/>
      <c r="Q198" s="32"/>
      <c r="R198" s="32"/>
      <c r="S198" s="27"/>
    </row>
    <row r="199" spans="2:19" ht="13.5">
      <c r="B199" s="182"/>
      <c r="C199" s="32" t="s">
        <v>499</v>
      </c>
      <c r="D199" s="27">
        <v>0.85</v>
      </c>
      <c r="R199" s="32"/>
      <c r="S199" s="27"/>
    </row>
    <row r="200" spans="1:19" ht="12.75">
      <c r="A200" s="164"/>
      <c r="B200" s="182"/>
      <c r="C200" s="182"/>
      <c r="D200" s="164"/>
      <c r="E200" s="164"/>
      <c r="F200" s="164"/>
      <c r="G200" s="164"/>
      <c r="H200" s="182"/>
      <c r="I200" s="182"/>
      <c r="J200" s="182"/>
      <c r="K200" s="182"/>
      <c r="L200" s="182"/>
      <c r="M200" s="182"/>
      <c r="N200" s="182"/>
      <c r="O200" s="182"/>
      <c r="P200" s="182"/>
      <c r="Q200" s="182"/>
      <c r="R200" s="164"/>
      <c r="S200" s="164"/>
    </row>
    <row r="201" spans="1:19" ht="13.5">
      <c r="A201" s="24"/>
      <c r="B201" s="182"/>
      <c r="C201" s="182"/>
      <c r="D201" s="164"/>
      <c r="E201" s="164"/>
      <c r="F201" s="164"/>
      <c r="G201" s="164"/>
      <c r="H201" s="182"/>
      <c r="I201" s="182"/>
      <c r="J201" s="182"/>
      <c r="K201" s="182"/>
      <c r="L201" s="182"/>
      <c r="M201" s="182"/>
      <c r="N201" s="182"/>
      <c r="O201" s="182"/>
      <c r="P201" s="182"/>
      <c r="Q201" s="182"/>
      <c r="R201" s="164"/>
      <c r="S201" s="164"/>
    </row>
    <row r="202" spans="1:19" ht="12.75">
      <c r="A202" s="164"/>
      <c r="B202" s="182" t="s">
        <v>753</v>
      </c>
      <c r="C202" s="182"/>
      <c r="D202" s="164"/>
      <c r="E202" s="164"/>
      <c r="F202" s="164"/>
      <c r="G202" s="164"/>
      <c r="H202" s="182"/>
      <c r="I202" s="182"/>
      <c r="J202" s="182"/>
      <c r="K202" s="182"/>
      <c r="L202" s="182"/>
      <c r="M202" s="182"/>
      <c r="N202" s="182"/>
      <c r="O202" s="182"/>
      <c r="P202" s="182"/>
      <c r="Q202" s="182"/>
      <c r="R202" s="164"/>
      <c r="S202" s="164"/>
    </row>
    <row r="203" spans="1:19" ht="12.75">
      <c r="A203" s="164"/>
      <c r="B203" s="182"/>
      <c r="C203" s="182"/>
      <c r="D203" s="164"/>
      <c r="E203" s="164"/>
      <c r="F203" s="164"/>
      <c r="G203" s="164"/>
      <c r="H203" s="182"/>
      <c r="I203" s="182"/>
      <c r="J203" s="182"/>
      <c r="K203" s="182"/>
      <c r="L203" s="182"/>
      <c r="M203" s="182"/>
      <c r="N203" s="182"/>
      <c r="O203" s="182"/>
      <c r="P203" s="182"/>
      <c r="Q203" s="182"/>
      <c r="R203" s="164"/>
      <c r="S203" s="164"/>
    </row>
    <row r="204" spans="1:19" ht="12.75">
      <c r="A204" s="164"/>
      <c r="B204" s="182"/>
      <c r="C204" s="182"/>
      <c r="D204" s="164"/>
      <c r="E204" s="164"/>
      <c r="F204" s="164"/>
      <c r="G204" s="164"/>
      <c r="H204" s="182"/>
      <c r="I204" s="182"/>
      <c r="J204" s="182"/>
      <c r="K204" s="182"/>
      <c r="L204" s="182"/>
      <c r="M204" s="182"/>
      <c r="N204" s="182"/>
      <c r="O204" s="182"/>
      <c r="P204" s="182"/>
      <c r="Q204" s="182"/>
      <c r="R204" s="164"/>
      <c r="S204" s="164"/>
    </row>
    <row r="205" spans="1:19" ht="12.75">
      <c r="A205" s="164"/>
      <c r="B205" s="182"/>
      <c r="C205" s="182"/>
      <c r="D205" s="164"/>
      <c r="E205" s="164"/>
      <c r="F205" s="164"/>
      <c r="G205" s="164"/>
      <c r="H205" s="182"/>
      <c r="I205" s="182"/>
      <c r="J205" s="182"/>
      <c r="K205" s="182"/>
      <c r="L205" s="182"/>
      <c r="M205" s="182"/>
      <c r="N205" s="182"/>
      <c r="O205" s="182"/>
      <c r="P205" s="182"/>
      <c r="Q205" s="182"/>
      <c r="R205" s="164"/>
      <c r="S205" s="164"/>
    </row>
    <row r="206" spans="1:19" ht="12.75">
      <c r="A206" s="10"/>
      <c r="B206" s="10"/>
      <c r="C206" s="10"/>
      <c r="D206" s="164"/>
      <c r="E206" s="164"/>
      <c r="F206" s="164"/>
      <c r="G206" s="164"/>
      <c r="H206" s="182"/>
      <c r="I206" s="182"/>
      <c r="J206" s="182"/>
      <c r="K206" s="182"/>
      <c r="L206" s="182"/>
      <c r="M206" s="182"/>
      <c r="N206" s="182"/>
      <c r="O206" s="182"/>
      <c r="P206" s="182"/>
      <c r="Q206" s="182"/>
      <c r="R206" s="164"/>
      <c r="S206" s="164"/>
    </row>
    <row r="207" spans="1:19" ht="12.75">
      <c r="A207" s="16"/>
      <c r="B207" s="228"/>
      <c r="C207" s="348"/>
      <c r="D207" s="40"/>
      <c r="E207" s="183"/>
      <c r="F207" s="40"/>
      <c r="G207" s="40"/>
      <c r="H207" s="173"/>
      <c r="I207" s="173"/>
      <c r="J207" s="173"/>
      <c r="K207" s="173"/>
      <c r="L207" s="173"/>
      <c r="M207" s="173"/>
      <c r="N207" s="173"/>
      <c r="O207" s="173"/>
      <c r="P207" s="173"/>
      <c r="Q207" s="173"/>
      <c r="R207" s="178"/>
      <c r="S207" s="178"/>
    </row>
    <row r="208" spans="1:19" ht="13.5">
      <c r="A208" s="16"/>
      <c r="B208" s="348"/>
      <c r="C208" s="348"/>
      <c r="F208" s="32"/>
      <c r="H208" s="173"/>
      <c r="I208" s="173"/>
      <c r="J208" s="173"/>
      <c r="K208" s="173"/>
      <c r="L208" s="173"/>
      <c r="M208" s="173"/>
      <c r="N208" s="173"/>
      <c r="O208" s="173"/>
      <c r="P208" s="173"/>
      <c r="Q208" s="173"/>
      <c r="R208" s="178"/>
      <c r="S208" s="178"/>
    </row>
    <row r="209" spans="1:19" ht="12.75">
      <c r="A209" s="16"/>
      <c r="B209" s="228"/>
      <c r="C209" s="348"/>
      <c r="D209" s="40"/>
      <c r="E209" s="183"/>
      <c r="R209" s="4"/>
      <c r="S209" s="4"/>
    </row>
    <row r="210" spans="1:19" ht="12.75">
      <c r="A210" s="38"/>
      <c r="B210" s="173"/>
      <c r="C210" s="173"/>
      <c r="D210" s="40"/>
      <c r="E210" s="183"/>
      <c r="R210" s="4"/>
      <c r="S210" s="4"/>
    </row>
    <row r="211" spans="1:19" ht="12.75">
      <c r="A211" s="38"/>
      <c r="B211" s="173"/>
      <c r="C211" s="173"/>
      <c r="D211" s="40"/>
      <c r="E211" s="183"/>
      <c r="R211" s="4"/>
      <c r="S211" s="4"/>
    </row>
    <row r="212" spans="1:19" ht="12.75">
      <c r="A212" s="38"/>
      <c r="B212" s="173"/>
      <c r="C212" s="173"/>
      <c r="D212" s="40"/>
      <c r="E212" s="183"/>
      <c r="R212" s="4"/>
      <c r="S212" s="4"/>
    </row>
    <row r="213" spans="18:19" ht="12.75">
      <c r="R213" s="4"/>
      <c r="S213" s="4"/>
    </row>
    <row r="214" spans="18:19" ht="12.75">
      <c r="R214" s="4"/>
      <c r="S214" s="4"/>
    </row>
    <row r="215" spans="18:19" ht="12.75">
      <c r="R215" s="4"/>
      <c r="S215" s="4"/>
    </row>
    <row r="216" spans="18:19" ht="12.75">
      <c r="R216" s="4"/>
      <c r="S216" s="4"/>
    </row>
    <row r="217" spans="18:19" ht="12.75">
      <c r="R217" s="4"/>
      <c r="S217" s="4"/>
    </row>
    <row r="218" spans="18:19" ht="12.75">
      <c r="R218" s="4"/>
      <c r="S218" s="4"/>
    </row>
    <row r="219" spans="18:19" ht="12.75">
      <c r="R219" s="4"/>
      <c r="S219" s="4"/>
    </row>
    <row r="220" spans="18:19" ht="12.75">
      <c r="R220" s="4"/>
      <c r="S220" s="4"/>
    </row>
    <row r="221" spans="18:19" ht="12.75">
      <c r="R221" s="4"/>
      <c r="S221" s="4"/>
    </row>
    <row r="222" spans="18:19" ht="12.75">
      <c r="R222" s="4"/>
      <c r="S222" s="4"/>
    </row>
    <row r="223" spans="18:19" ht="12.75">
      <c r="R223" s="4"/>
      <c r="S223" s="4"/>
    </row>
    <row r="224" spans="18:19" ht="12.75">
      <c r="R224" s="4"/>
      <c r="S224" s="4"/>
    </row>
    <row r="225" spans="18:19" ht="12.75">
      <c r="R225" s="4"/>
      <c r="S225" s="4"/>
    </row>
    <row r="226" spans="18:19" ht="12.75">
      <c r="R226" s="4"/>
      <c r="S226" s="4"/>
    </row>
    <row r="227" spans="18:19" ht="12.75">
      <c r="R227" s="4"/>
      <c r="S227" s="4"/>
    </row>
    <row r="228" spans="18:19" ht="12.75">
      <c r="R228" s="4"/>
      <c r="S228" s="4"/>
    </row>
    <row r="229" spans="18:19" ht="12.75">
      <c r="R229" s="4"/>
      <c r="S229" s="4"/>
    </row>
    <row r="230" spans="18:19" ht="12.75">
      <c r="R230" s="4"/>
      <c r="S230" s="4"/>
    </row>
    <row r="231" spans="18:19" ht="12.75">
      <c r="R231" s="4"/>
      <c r="S231" s="4"/>
    </row>
    <row r="232" spans="18:19" ht="12.75">
      <c r="R232" s="4"/>
      <c r="S232" s="4"/>
    </row>
    <row r="233" spans="18:19" ht="12.75">
      <c r="R233" s="4"/>
      <c r="S233" s="4"/>
    </row>
    <row r="234" spans="18:19" ht="12.75">
      <c r="R234" s="4"/>
      <c r="S234" s="4"/>
    </row>
    <row r="235" spans="18:19" ht="12.75">
      <c r="R235" s="4"/>
      <c r="S235" s="4"/>
    </row>
    <row r="236" spans="18:19" ht="12.75">
      <c r="R236" s="4"/>
      <c r="S236" s="4"/>
    </row>
    <row r="237" spans="18:19" ht="12.75">
      <c r="R237" s="4"/>
      <c r="S237" s="4"/>
    </row>
    <row r="238" spans="18:19" ht="12.75">
      <c r="R238" s="4"/>
      <c r="S238" s="4"/>
    </row>
    <row r="239" spans="18:19" ht="12.75">
      <c r="R239" s="4"/>
      <c r="S239" s="4"/>
    </row>
    <row r="240" spans="18:19" ht="12.75">
      <c r="R240" s="4"/>
      <c r="S240" s="4"/>
    </row>
    <row r="241" spans="18:19" ht="12.75">
      <c r="R241" s="4"/>
      <c r="S241" s="4"/>
    </row>
    <row r="242" spans="18:19" ht="12.75">
      <c r="R242" s="4"/>
      <c r="S242" s="4"/>
    </row>
    <row r="243" spans="18:19" ht="12.75">
      <c r="R243" s="4"/>
      <c r="S243" s="4"/>
    </row>
    <row r="244" spans="18:19" ht="12.75">
      <c r="R244" s="4"/>
      <c r="S244" s="4"/>
    </row>
    <row r="245" spans="18:19" ht="12.75">
      <c r="R245" s="4"/>
      <c r="S245" s="4"/>
    </row>
    <row r="246" spans="18:19" ht="12.75">
      <c r="R246" s="4"/>
      <c r="S246" s="4"/>
    </row>
    <row r="247" spans="18:19" ht="12.75">
      <c r="R247" s="4"/>
      <c r="S247" s="4"/>
    </row>
    <row r="248" spans="18:19" ht="12.75">
      <c r="R248" s="4"/>
      <c r="S248" s="4"/>
    </row>
    <row r="249" spans="18:19" ht="12.75">
      <c r="R249" s="4"/>
      <c r="S249" s="4"/>
    </row>
    <row r="250" spans="18:19" ht="12.75">
      <c r="R250" s="4"/>
      <c r="S250" s="4"/>
    </row>
    <row r="251" spans="18:19" ht="12.75">
      <c r="R251" s="4"/>
      <c r="S251" s="4"/>
    </row>
    <row r="252" spans="18:19" ht="12.75">
      <c r="R252" s="4"/>
      <c r="S252" s="4"/>
    </row>
    <row r="253" spans="18:19" ht="12.75">
      <c r="R253" s="4"/>
      <c r="S253" s="4"/>
    </row>
    <row r="254" spans="18:19" ht="12.75">
      <c r="R254" s="4"/>
      <c r="S254" s="4"/>
    </row>
    <row r="255" spans="18:19" ht="12.75">
      <c r="R255" s="4"/>
      <c r="S255" s="4"/>
    </row>
    <row r="256" spans="18:19" ht="12.75">
      <c r="R256" s="4"/>
      <c r="S256" s="4"/>
    </row>
    <row r="257" spans="18:19" ht="12.75">
      <c r="R257" s="4"/>
      <c r="S257" s="4"/>
    </row>
    <row r="258" spans="18:19" ht="12.75">
      <c r="R258" s="4"/>
      <c r="S258" s="4"/>
    </row>
    <row r="259" spans="18:19" ht="12.75">
      <c r="R259" s="4"/>
      <c r="S259" s="4"/>
    </row>
    <row r="260" spans="18:19" ht="12.75">
      <c r="R260" s="4"/>
      <c r="S260" s="4"/>
    </row>
    <row r="261" spans="18:19" ht="12.75">
      <c r="R261" s="4"/>
      <c r="S261" s="4"/>
    </row>
    <row r="262" spans="18:19" ht="12.75">
      <c r="R262" s="4"/>
      <c r="S262" s="4"/>
    </row>
    <row r="263" spans="18:19" ht="12.75">
      <c r="R263" s="4"/>
      <c r="S263" s="4"/>
    </row>
    <row r="264" spans="18:19" ht="12.75">
      <c r="R264" s="4"/>
      <c r="S264" s="4"/>
    </row>
    <row r="265" spans="18:19" ht="12.75">
      <c r="R265" s="4"/>
      <c r="S265" s="4"/>
    </row>
    <row r="266" spans="18:19" ht="12.75">
      <c r="R266" s="4"/>
      <c r="S266" s="4"/>
    </row>
    <row r="267" spans="18:19" ht="12.75">
      <c r="R267" s="4"/>
      <c r="S267" s="4"/>
    </row>
    <row r="268" spans="18:19" ht="12.75">
      <c r="R268" s="4"/>
      <c r="S268" s="4"/>
    </row>
    <row r="269" spans="18:19" ht="12.75">
      <c r="R269" s="4"/>
      <c r="S269" s="4"/>
    </row>
    <row r="270" spans="18:19" ht="12.75">
      <c r="R270" s="4"/>
      <c r="S270" s="4"/>
    </row>
    <row r="271" spans="18:19" ht="12.75">
      <c r="R271" s="4"/>
      <c r="S271" s="4"/>
    </row>
    <row r="272" spans="18:19" ht="12.75">
      <c r="R272" s="4"/>
      <c r="S272" s="4"/>
    </row>
    <row r="273" spans="18:19" ht="12.75">
      <c r="R273" s="4"/>
      <c r="S273" s="4"/>
    </row>
    <row r="274" spans="18:19" ht="12.75">
      <c r="R274" s="4"/>
      <c r="S274" s="4"/>
    </row>
    <row r="275" spans="18:19" ht="12.75">
      <c r="R275" s="4"/>
      <c r="S275" s="4"/>
    </row>
    <row r="276" spans="18:19" ht="12.75">
      <c r="R276" s="4"/>
      <c r="S276" s="4"/>
    </row>
    <row r="277" spans="18:19" ht="12.75">
      <c r="R277" s="4"/>
      <c r="S277" s="4"/>
    </row>
    <row r="278" spans="18:19" ht="12.75">
      <c r="R278" s="4"/>
      <c r="S278" s="4"/>
    </row>
    <row r="279" spans="18:19" ht="12.75">
      <c r="R279" s="4"/>
      <c r="S279" s="4"/>
    </row>
    <row r="280" spans="18:19" ht="12.75">
      <c r="R280" s="4"/>
      <c r="S280" s="4"/>
    </row>
    <row r="281" spans="18:19" ht="12.75">
      <c r="R281" s="4"/>
      <c r="S281" s="4"/>
    </row>
    <row r="282" spans="18:19" ht="12.75">
      <c r="R282" s="4"/>
      <c r="S282" s="4"/>
    </row>
    <row r="283" spans="18:19" ht="12.75">
      <c r="R283" s="4"/>
      <c r="S283" s="4"/>
    </row>
    <row r="284" spans="18:19" ht="12.75">
      <c r="R284" s="4"/>
      <c r="S284" s="4"/>
    </row>
    <row r="285" spans="18:19" ht="12.75">
      <c r="R285" s="4"/>
      <c r="S285" s="4"/>
    </row>
    <row r="286" spans="18:19" ht="12.75">
      <c r="R286" s="4"/>
      <c r="S286" s="4"/>
    </row>
    <row r="287" spans="18:19" ht="12.75">
      <c r="R287" s="4"/>
      <c r="S287" s="4"/>
    </row>
    <row r="288" spans="18:19" ht="12.75">
      <c r="R288" s="4"/>
      <c r="S288" s="4"/>
    </row>
    <row r="289" spans="18:19" ht="12.75">
      <c r="R289" s="4"/>
      <c r="S289" s="4"/>
    </row>
    <row r="290" spans="18:19" ht="12.75">
      <c r="R290" s="4"/>
      <c r="S290" s="4"/>
    </row>
    <row r="291" spans="18:19" ht="12.75">
      <c r="R291" s="4"/>
      <c r="S291" s="4"/>
    </row>
    <row r="292" spans="18:19" ht="12.75">
      <c r="R292" s="4"/>
      <c r="S292" s="4"/>
    </row>
    <row r="293" spans="18:19" ht="12.75">
      <c r="R293" s="4"/>
      <c r="S293" s="4"/>
    </row>
    <row r="294" spans="18:19" ht="12.75">
      <c r="R294" s="4"/>
      <c r="S294" s="4"/>
    </row>
    <row r="295" spans="18:19" ht="12.75">
      <c r="R295" s="4"/>
      <c r="S295" s="4"/>
    </row>
    <row r="296" spans="18:19" ht="12.75">
      <c r="R296" s="4"/>
      <c r="S296" s="4"/>
    </row>
    <row r="297" spans="18:19" ht="12.75">
      <c r="R297" s="4"/>
      <c r="S297" s="4"/>
    </row>
    <row r="298" spans="18:19" ht="12.75">
      <c r="R298" s="4"/>
      <c r="S298" s="4"/>
    </row>
    <row r="299" spans="18:19" ht="12.75">
      <c r="R299" s="4"/>
      <c r="S299" s="4"/>
    </row>
    <row r="300" spans="18:19" ht="12.75">
      <c r="R300" s="4"/>
      <c r="S300" s="4"/>
    </row>
    <row r="301" spans="18:19" ht="12.75">
      <c r="R301" s="4"/>
      <c r="S301" s="4"/>
    </row>
    <row r="302" spans="18:19" ht="12.75">
      <c r="R302" s="4"/>
      <c r="S302" s="4"/>
    </row>
    <row r="303" spans="18:19" ht="12.75">
      <c r="R303" s="4"/>
      <c r="S303" s="4"/>
    </row>
    <row r="304" spans="18:19" ht="12.75">
      <c r="R304" s="4"/>
      <c r="S304" s="4"/>
    </row>
    <row r="305" spans="18:19" ht="12.75">
      <c r="R305" s="4"/>
      <c r="S305" s="4"/>
    </row>
    <row r="306" spans="18:19" ht="12.75">
      <c r="R306" s="4"/>
      <c r="S306" s="4"/>
    </row>
    <row r="307" spans="18:19" ht="12.75">
      <c r="R307" s="4"/>
      <c r="S307" s="4"/>
    </row>
    <row r="308" spans="18:19" ht="12.75">
      <c r="R308" s="4"/>
      <c r="S308" s="4"/>
    </row>
    <row r="309" spans="18:19" ht="12.75">
      <c r="R309" s="4"/>
      <c r="S309" s="4"/>
    </row>
    <row r="310" spans="18:19" ht="12.75">
      <c r="R310" s="4"/>
      <c r="S310" s="4"/>
    </row>
    <row r="311" spans="18:19" ht="12.75">
      <c r="R311" s="4"/>
      <c r="S311" s="4"/>
    </row>
    <row r="312" spans="18:19" ht="12.75">
      <c r="R312" s="4"/>
      <c r="S312" s="4"/>
    </row>
    <row r="313" spans="18:19" ht="12.75">
      <c r="R313" s="4"/>
      <c r="S313" s="4"/>
    </row>
    <row r="314" spans="18:19" ht="12.75">
      <c r="R314" s="4"/>
      <c r="S314" s="4"/>
    </row>
    <row r="315" spans="18:19" ht="12.75">
      <c r="R315" s="4"/>
      <c r="S315" s="4"/>
    </row>
    <row r="316" spans="18:19" ht="12.75">
      <c r="R316" s="4"/>
      <c r="S316" s="4"/>
    </row>
    <row r="317" spans="18:19" ht="12.75">
      <c r="R317" s="4"/>
      <c r="S317" s="4"/>
    </row>
    <row r="318" spans="18:19" ht="12.75">
      <c r="R318" s="4"/>
      <c r="S318" s="4"/>
    </row>
    <row r="319" spans="18:19" ht="12.75">
      <c r="R319" s="4"/>
      <c r="S319" s="4"/>
    </row>
    <row r="320" spans="18:19" ht="12.75">
      <c r="R320" s="4"/>
      <c r="S320" s="4"/>
    </row>
    <row r="321" spans="18:19" ht="12.75">
      <c r="R321" s="4"/>
      <c r="S321" s="4"/>
    </row>
    <row r="322" spans="18:19" ht="12.75">
      <c r="R322" s="4"/>
      <c r="S322" s="4"/>
    </row>
    <row r="323" spans="18:19" ht="12.75">
      <c r="R323" s="4"/>
      <c r="S323" s="4"/>
    </row>
    <row r="324" spans="18:19" ht="12.75">
      <c r="R324" s="4"/>
      <c r="S324" s="4"/>
    </row>
    <row r="325" spans="18:19" ht="12.75">
      <c r="R325" s="4"/>
      <c r="S325" s="4"/>
    </row>
    <row r="326" spans="18:19" ht="12.75">
      <c r="R326" s="4"/>
      <c r="S326" s="4"/>
    </row>
    <row r="327" spans="18:19" ht="12.75">
      <c r="R327" s="4"/>
      <c r="S327" s="4"/>
    </row>
    <row r="328" spans="18:19" ht="12.75">
      <c r="R328" s="4"/>
      <c r="S328" s="4"/>
    </row>
    <row r="329" spans="18:19" ht="12.75">
      <c r="R329" s="4"/>
      <c r="S329" s="4"/>
    </row>
    <row r="330" spans="18:19" ht="12.75">
      <c r="R330" s="4"/>
      <c r="S330" s="4"/>
    </row>
    <row r="331" spans="18:19" ht="12.75">
      <c r="R331" s="4"/>
      <c r="S331" s="4"/>
    </row>
    <row r="332" spans="18:19" ht="12.75">
      <c r="R332" s="4"/>
      <c r="S332" s="4"/>
    </row>
    <row r="333" spans="18:19" ht="12.75">
      <c r="R333" s="4"/>
      <c r="S333" s="4"/>
    </row>
    <row r="334" spans="18:19" ht="12.75">
      <c r="R334" s="4"/>
      <c r="S334" s="4"/>
    </row>
    <row r="335" spans="18:19" ht="12.75">
      <c r="R335" s="4"/>
      <c r="S335" s="4"/>
    </row>
    <row r="336" spans="18:19" ht="12.75">
      <c r="R336" s="4"/>
      <c r="S336" s="4"/>
    </row>
    <row r="337" spans="18:19" ht="12.75">
      <c r="R337" s="4"/>
      <c r="S337" s="4"/>
    </row>
    <row r="338" spans="18:19" ht="12.75">
      <c r="R338" s="4"/>
      <c r="S338" s="4"/>
    </row>
    <row r="339" spans="18:19" ht="12.75">
      <c r="R339" s="4"/>
      <c r="S339" s="4"/>
    </row>
    <row r="340" spans="18:19" ht="12.75">
      <c r="R340" s="4"/>
      <c r="S340" s="4"/>
    </row>
    <row r="341" spans="18:19" ht="12.75">
      <c r="R341" s="4"/>
      <c r="S341" s="4"/>
    </row>
    <row r="342" spans="18:19" ht="12.75">
      <c r="R342" s="4"/>
      <c r="S342" s="4"/>
    </row>
    <row r="343" spans="18:19" ht="12.75">
      <c r="R343" s="4"/>
      <c r="S343" s="4"/>
    </row>
    <row r="344" spans="18:19" ht="12.75">
      <c r="R344" s="4"/>
      <c r="S344" s="4"/>
    </row>
    <row r="345" spans="18:19" ht="12.75">
      <c r="R345" s="4"/>
      <c r="S345" s="4"/>
    </row>
    <row r="346" spans="18:19" ht="12.75">
      <c r="R346" s="4"/>
      <c r="S346" s="4"/>
    </row>
    <row r="347" spans="18:19" ht="12.75">
      <c r="R347" s="4"/>
      <c r="S347" s="4"/>
    </row>
    <row r="348" spans="18:19" ht="12.75">
      <c r="R348" s="4"/>
      <c r="S348" s="4"/>
    </row>
    <row r="349" spans="18:19" ht="12.75">
      <c r="R349" s="4"/>
      <c r="S349" s="4"/>
    </row>
    <row r="350" spans="18:19" ht="12.75">
      <c r="R350" s="4"/>
      <c r="S350" s="4"/>
    </row>
    <row r="351" spans="18:19" ht="12.75">
      <c r="R351" s="4"/>
      <c r="S351" s="4"/>
    </row>
    <row r="352" spans="18:19" ht="12.75">
      <c r="R352" s="4"/>
      <c r="S352" s="4"/>
    </row>
    <row r="353" spans="18:19" ht="12.75">
      <c r="R353" s="4"/>
      <c r="S353" s="4"/>
    </row>
    <row r="354" spans="18:19" ht="12.75">
      <c r="R354" s="4"/>
      <c r="S354" s="4"/>
    </row>
    <row r="355" spans="18:19" ht="12.75">
      <c r="R355" s="4"/>
      <c r="S355" s="4"/>
    </row>
    <row r="356" spans="18:19" ht="12.75">
      <c r="R356" s="4"/>
      <c r="S356" s="4"/>
    </row>
    <row r="357" spans="18:19" ht="12.75">
      <c r="R357" s="4"/>
      <c r="S357" s="4"/>
    </row>
    <row r="358" spans="18:19" ht="12.75">
      <c r="R358" s="4"/>
      <c r="S358" s="4"/>
    </row>
    <row r="359" spans="18:19" ht="12.75">
      <c r="R359" s="4"/>
      <c r="S359" s="4"/>
    </row>
    <row r="360" spans="18:19" ht="12.75">
      <c r="R360" s="4"/>
      <c r="S360" s="4"/>
    </row>
    <row r="361" spans="18:19" ht="12.75">
      <c r="R361" s="4"/>
      <c r="S361" s="4"/>
    </row>
    <row r="362" spans="18:19" ht="12.75">
      <c r="R362" s="4"/>
      <c r="S362" s="4"/>
    </row>
    <row r="363" spans="18:19" ht="12.75">
      <c r="R363" s="4"/>
      <c r="S363" s="4"/>
    </row>
    <row r="364" spans="18:19" ht="12.75">
      <c r="R364" s="4"/>
      <c r="S364" s="4"/>
    </row>
    <row r="365" spans="18:19" ht="12.75">
      <c r="R365" s="4"/>
      <c r="S365" s="4"/>
    </row>
    <row r="366" spans="18:19" ht="12.75">
      <c r="R366" s="4"/>
      <c r="S366" s="4"/>
    </row>
    <row r="367" spans="18:19" ht="12.75">
      <c r="R367" s="4"/>
      <c r="S367" s="4"/>
    </row>
    <row r="368" spans="18:19" ht="12.75">
      <c r="R368" s="4"/>
      <c r="S368" s="4"/>
    </row>
    <row r="369" spans="18:19" ht="12.75">
      <c r="R369" s="4"/>
      <c r="S369" s="4"/>
    </row>
    <row r="370" spans="18:19" ht="12.75">
      <c r="R370" s="4"/>
      <c r="S370" s="4"/>
    </row>
    <row r="371" spans="18:19" ht="12.75">
      <c r="R371" s="4"/>
      <c r="S371" s="4"/>
    </row>
    <row r="372" spans="18:19" ht="12.75">
      <c r="R372" s="4"/>
      <c r="S372" s="4"/>
    </row>
    <row r="373" spans="18:19" ht="12.75">
      <c r="R373" s="4"/>
      <c r="S373" s="4"/>
    </row>
    <row r="374" spans="18:19" ht="12.75">
      <c r="R374" s="4"/>
      <c r="S374" s="4"/>
    </row>
    <row r="375" spans="18:19" ht="12.75">
      <c r="R375" s="4"/>
      <c r="S375" s="4"/>
    </row>
    <row r="376" spans="18:19" ht="12.75">
      <c r="R376" s="4"/>
      <c r="S376" s="4"/>
    </row>
    <row r="377" spans="18:19" ht="12.75">
      <c r="R377" s="4"/>
      <c r="S377" s="4"/>
    </row>
    <row r="378" spans="18:19" ht="12.75">
      <c r="R378" s="4"/>
      <c r="S378" s="4"/>
    </row>
    <row r="379" spans="18:19" ht="12.75">
      <c r="R379" s="4"/>
      <c r="S379" s="4"/>
    </row>
    <row r="380" spans="18:19" ht="12.75">
      <c r="R380" s="4"/>
      <c r="S380" s="4"/>
    </row>
    <row r="381" spans="18:19" ht="12.75">
      <c r="R381" s="4"/>
      <c r="S381" s="4"/>
    </row>
    <row r="382" spans="18:19" ht="12.75">
      <c r="R382" s="4"/>
      <c r="S382" s="4"/>
    </row>
    <row r="383" spans="18:19" ht="12.75">
      <c r="R383" s="4"/>
      <c r="S383" s="4"/>
    </row>
    <row r="384" spans="18:19" ht="12.75">
      <c r="R384" s="4"/>
      <c r="S384" s="4"/>
    </row>
    <row r="385" spans="18:19" ht="12.75">
      <c r="R385" s="4"/>
      <c r="S385" s="4"/>
    </row>
    <row r="386" spans="18:19" ht="12.75">
      <c r="R386" s="4"/>
      <c r="S386" s="4"/>
    </row>
    <row r="387" spans="18:19" ht="12.75">
      <c r="R387" s="4"/>
      <c r="S387" s="4"/>
    </row>
    <row r="388" spans="18:19" ht="12.75">
      <c r="R388" s="4"/>
      <c r="S388" s="4"/>
    </row>
    <row r="389" spans="18:19" ht="12.75">
      <c r="R389" s="4"/>
      <c r="S389" s="4"/>
    </row>
    <row r="390" spans="18:19" ht="12.75">
      <c r="R390" s="4"/>
      <c r="S390" s="4"/>
    </row>
    <row r="391" spans="18:19" ht="12.75">
      <c r="R391" s="4"/>
      <c r="S391" s="4"/>
    </row>
    <row r="392" spans="18:19" ht="12.75">
      <c r="R392" s="4"/>
      <c r="S392" s="4"/>
    </row>
    <row r="393" spans="18:19" ht="12.75">
      <c r="R393" s="4"/>
      <c r="S393" s="4"/>
    </row>
    <row r="394" spans="18:19" ht="12.75">
      <c r="R394" s="4"/>
      <c r="S394" s="4"/>
    </row>
    <row r="395" spans="18:19" ht="12.75">
      <c r="R395" s="4"/>
      <c r="S395" s="4"/>
    </row>
    <row r="396" spans="18:19" ht="12.75">
      <c r="R396" s="4"/>
      <c r="S396" s="4"/>
    </row>
    <row r="397" spans="18:19" ht="12.75">
      <c r="R397" s="4"/>
      <c r="S397" s="4"/>
    </row>
    <row r="398" spans="18:19" ht="12.75">
      <c r="R398" s="4"/>
      <c r="S398" s="4"/>
    </row>
    <row r="399" spans="18:19" ht="12.75">
      <c r="R399" s="4"/>
      <c r="S399" s="4"/>
    </row>
    <row r="400" spans="18:19" ht="12.75">
      <c r="R400" s="4"/>
      <c r="S400" s="4"/>
    </row>
    <row r="401" spans="18:19" ht="12.75">
      <c r="R401" s="4"/>
      <c r="S401" s="4"/>
    </row>
    <row r="402" spans="18:19" ht="12.75">
      <c r="R402" s="4"/>
      <c r="S402" s="4"/>
    </row>
    <row r="403" spans="18:19" ht="12.75">
      <c r="R403" s="4"/>
      <c r="S403" s="4"/>
    </row>
    <row r="404" spans="18:19" ht="12.75">
      <c r="R404" s="4"/>
      <c r="S404" s="4"/>
    </row>
    <row r="405" spans="18:19" ht="12.75">
      <c r="R405" s="4"/>
      <c r="S405" s="4"/>
    </row>
    <row r="406" spans="18:19" ht="12.75">
      <c r="R406" s="4"/>
      <c r="S406" s="4"/>
    </row>
    <row r="407" spans="18:19" ht="12.75">
      <c r="R407" s="4"/>
      <c r="S407" s="4"/>
    </row>
    <row r="408" spans="18:19" ht="12.75">
      <c r="R408" s="4"/>
      <c r="S408" s="4"/>
    </row>
    <row r="409" spans="18:19" ht="12.75">
      <c r="R409" s="4"/>
      <c r="S409" s="4"/>
    </row>
    <row r="410" spans="18:19" ht="12.75">
      <c r="R410" s="4"/>
      <c r="S410" s="4"/>
    </row>
    <row r="411" spans="18:19" ht="12.75">
      <c r="R411" s="4"/>
      <c r="S411" s="4"/>
    </row>
    <row r="412" spans="18:19" ht="12.75">
      <c r="R412" s="4"/>
      <c r="S412" s="4"/>
    </row>
    <row r="413" spans="18:19" ht="12.75">
      <c r="R413" s="4"/>
      <c r="S413" s="4"/>
    </row>
    <row r="414" spans="18:19" ht="12.75">
      <c r="R414" s="4"/>
      <c r="S414" s="4"/>
    </row>
    <row r="415" spans="18:19" ht="12.75">
      <c r="R415" s="4"/>
      <c r="S415" s="4"/>
    </row>
    <row r="416" spans="18:19" ht="12.75">
      <c r="R416" s="4"/>
      <c r="S416" s="4"/>
    </row>
    <row r="417" spans="18:19" ht="12.75">
      <c r="R417" s="4"/>
      <c r="S417" s="4"/>
    </row>
    <row r="418" spans="18:19" ht="12.75">
      <c r="R418" s="4"/>
      <c r="S418" s="4"/>
    </row>
    <row r="419" spans="18:19" ht="12.75">
      <c r="R419" s="4"/>
      <c r="S419" s="4"/>
    </row>
    <row r="420" spans="18:19" ht="12.75">
      <c r="R420" s="4"/>
      <c r="S420" s="4"/>
    </row>
    <row r="421" spans="18:19" ht="12.75">
      <c r="R421" s="4"/>
      <c r="S421" s="4"/>
    </row>
    <row r="422" spans="18:19" ht="12.75">
      <c r="R422" s="4"/>
      <c r="S422" s="4"/>
    </row>
    <row r="423" spans="18:19" ht="12.75">
      <c r="R423" s="4"/>
      <c r="S423" s="4"/>
    </row>
    <row r="424" spans="18:19" ht="12.75">
      <c r="R424" s="4"/>
      <c r="S424" s="4"/>
    </row>
    <row r="425" spans="18:19" ht="12.75">
      <c r="R425" s="4"/>
      <c r="S425" s="4"/>
    </row>
    <row r="426" spans="18:19" ht="12.75">
      <c r="R426" s="4"/>
      <c r="S426" s="4"/>
    </row>
    <row r="427" spans="18:19" ht="12.75">
      <c r="R427" s="4"/>
      <c r="S427" s="4"/>
    </row>
    <row r="428" spans="18:19" ht="12.75">
      <c r="R428" s="4"/>
      <c r="S428" s="4"/>
    </row>
    <row r="429" spans="18:19" ht="12.75">
      <c r="R429" s="4"/>
      <c r="S429" s="4"/>
    </row>
    <row r="430" spans="18:19" ht="12.75">
      <c r="R430" s="4"/>
      <c r="S430" s="4"/>
    </row>
    <row r="431" spans="18:19" ht="12.75">
      <c r="R431" s="4"/>
      <c r="S431" s="4"/>
    </row>
    <row r="432" spans="18:19" ht="12.75">
      <c r="R432" s="4"/>
      <c r="S432" s="4"/>
    </row>
    <row r="433" spans="18:19" ht="12.75">
      <c r="R433" s="4"/>
      <c r="S433" s="4"/>
    </row>
    <row r="434" spans="18:19" ht="12.75">
      <c r="R434" s="4"/>
      <c r="S434" s="4"/>
    </row>
    <row r="435" spans="18:19" ht="12.75">
      <c r="R435" s="4"/>
      <c r="S435" s="4"/>
    </row>
    <row r="436" spans="18:19" ht="12.75">
      <c r="R436" s="4"/>
      <c r="S436" s="4"/>
    </row>
    <row r="437" spans="18:19" ht="12.75">
      <c r="R437" s="4"/>
      <c r="S437" s="4"/>
    </row>
    <row r="438" spans="18:19" ht="12.75">
      <c r="R438" s="4"/>
      <c r="S438" s="4"/>
    </row>
    <row r="439" spans="18:19" ht="12.75">
      <c r="R439" s="4"/>
      <c r="S439" s="4"/>
    </row>
    <row r="440" spans="18:19" ht="12.75">
      <c r="R440" s="4"/>
      <c r="S440" s="4"/>
    </row>
    <row r="441" spans="18:19" ht="12.75">
      <c r="R441" s="4"/>
      <c r="S441" s="4"/>
    </row>
    <row r="442" spans="18:19" ht="12.75">
      <c r="R442" s="4"/>
      <c r="S442" s="4"/>
    </row>
    <row r="443" spans="18:19" ht="12.75">
      <c r="R443" s="4"/>
      <c r="S443" s="4"/>
    </row>
    <row r="444" spans="18:19" ht="12.75">
      <c r="R444" s="4"/>
      <c r="S444" s="4"/>
    </row>
    <row r="445" spans="18:19" ht="12.75">
      <c r="R445" s="4"/>
      <c r="S445" s="4"/>
    </row>
    <row r="446" spans="18:19" ht="12.75">
      <c r="R446" s="4"/>
      <c r="S446" s="4"/>
    </row>
    <row r="447" spans="18:19" ht="12.75">
      <c r="R447" s="4"/>
      <c r="S447" s="4"/>
    </row>
    <row r="448" spans="18:19" ht="12.75">
      <c r="R448" s="4"/>
      <c r="S448" s="4"/>
    </row>
    <row r="449" spans="18:19" ht="12.75">
      <c r="R449" s="4"/>
      <c r="S449" s="4"/>
    </row>
    <row r="450" spans="18:19" ht="12.75">
      <c r="R450" s="4"/>
      <c r="S450" s="4"/>
    </row>
    <row r="451" spans="18:19" ht="12.75">
      <c r="R451" s="4"/>
      <c r="S451" s="4"/>
    </row>
    <row r="452" spans="18:19" ht="12.75">
      <c r="R452" s="4"/>
      <c r="S452" s="4"/>
    </row>
    <row r="453" spans="18:19" ht="12.75">
      <c r="R453" s="4"/>
      <c r="S453" s="4"/>
    </row>
    <row r="454" spans="18:19" ht="12.75">
      <c r="R454" s="4"/>
      <c r="S454" s="4"/>
    </row>
    <row r="455" spans="18:19" ht="12.75">
      <c r="R455" s="4"/>
      <c r="S455" s="4"/>
    </row>
    <row r="456" spans="18:19" ht="12.75">
      <c r="R456" s="4"/>
      <c r="S456" s="4"/>
    </row>
    <row r="457" spans="18:19" ht="12.75">
      <c r="R457" s="4"/>
      <c r="S457" s="4"/>
    </row>
    <row r="458" spans="18:19" ht="12.75">
      <c r="R458" s="4"/>
      <c r="S458" s="4"/>
    </row>
    <row r="459" spans="18:19" ht="12.75">
      <c r="R459" s="4"/>
      <c r="S459" s="4"/>
    </row>
    <row r="460" spans="18:19" ht="12.75">
      <c r="R460" s="4"/>
      <c r="S460" s="4"/>
    </row>
    <row r="461" spans="18:19" ht="12.75">
      <c r="R461" s="4"/>
      <c r="S461" s="4"/>
    </row>
    <row r="462" spans="18:19" ht="12.75">
      <c r="R462" s="4"/>
      <c r="S462" s="4"/>
    </row>
    <row r="463" spans="18:19" ht="12.75">
      <c r="R463" s="4"/>
      <c r="S463" s="4"/>
    </row>
    <row r="464" spans="18:19" ht="12.75">
      <c r="R464" s="4"/>
      <c r="S464" s="4"/>
    </row>
    <row r="465" spans="18:19" ht="12.75">
      <c r="R465" s="4"/>
      <c r="S465" s="4"/>
    </row>
    <row r="466" spans="18:19" ht="12.75">
      <c r="R466" s="4"/>
      <c r="S466" s="4"/>
    </row>
    <row r="467" spans="18:19" ht="12.75">
      <c r="R467" s="4"/>
      <c r="S467" s="4"/>
    </row>
    <row r="468" spans="18:19" ht="12.75">
      <c r="R468" s="4"/>
      <c r="S468" s="4"/>
    </row>
    <row r="469" spans="18:19" ht="12.75">
      <c r="R469" s="4"/>
      <c r="S469" s="4"/>
    </row>
    <row r="470" spans="18:19" ht="12.75">
      <c r="R470" s="4"/>
      <c r="S470" s="4"/>
    </row>
    <row r="471" spans="18:19" ht="12.75">
      <c r="R471" s="4"/>
      <c r="S471" s="4"/>
    </row>
    <row r="472" spans="18:19" ht="12.75">
      <c r="R472" s="4"/>
      <c r="S472" s="4"/>
    </row>
    <row r="473" spans="18:19" ht="12.75">
      <c r="R473" s="4"/>
      <c r="S473" s="4"/>
    </row>
    <row r="474" spans="18:19" ht="12.75">
      <c r="R474" s="4"/>
      <c r="S474" s="4"/>
    </row>
    <row r="475" spans="18:19" ht="12.75">
      <c r="R475" s="4"/>
      <c r="S475" s="4"/>
    </row>
    <row r="476" spans="18:19" ht="12.75">
      <c r="R476" s="4"/>
      <c r="S476" s="4"/>
    </row>
    <row r="477" spans="18:19" ht="12.75">
      <c r="R477" s="4"/>
      <c r="S477" s="4"/>
    </row>
    <row r="478" spans="18:19" ht="12.75">
      <c r="R478" s="4"/>
      <c r="S478" s="4"/>
    </row>
    <row r="479" spans="18:19" ht="12.75">
      <c r="R479" s="4"/>
      <c r="S479" s="4"/>
    </row>
    <row r="480" spans="18:19" ht="12.75">
      <c r="R480" s="4"/>
      <c r="S480" s="4"/>
    </row>
    <row r="481" spans="18:19" ht="12.75">
      <c r="R481" s="4"/>
      <c r="S481" s="4"/>
    </row>
    <row r="482" spans="18:19" ht="12.75">
      <c r="R482" s="4"/>
      <c r="S482" s="4"/>
    </row>
    <row r="483" spans="18:19" ht="12.75">
      <c r="R483" s="4"/>
      <c r="S483" s="4"/>
    </row>
    <row r="484" spans="18:19" ht="12.75">
      <c r="R484" s="4"/>
      <c r="S484" s="4"/>
    </row>
    <row r="485" spans="18:19" ht="12.75">
      <c r="R485" s="4"/>
      <c r="S485" s="4"/>
    </row>
    <row r="486" spans="18:19" ht="12.75">
      <c r="R486" s="4"/>
      <c r="S486" s="4"/>
    </row>
    <row r="487" spans="18:19" ht="12.75">
      <c r="R487" s="4"/>
      <c r="S487" s="4"/>
    </row>
    <row r="488" spans="18:19" ht="12.75">
      <c r="R488" s="4"/>
      <c r="S488" s="4"/>
    </row>
    <row r="489" spans="18:19" ht="12.75">
      <c r="R489" s="4"/>
      <c r="S489" s="4"/>
    </row>
    <row r="490" spans="18:19" ht="12.75">
      <c r="R490" s="4"/>
      <c r="S490" s="4"/>
    </row>
    <row r="491" spans="18:19" ht="12.75">
      <c r="R491" s="4"/>
      <c r="S491" s="4"/>
    </row>
    <row r="492" spans="18:19" ht="12.75">
      <c r="R492" s="4"/>
      <c r="S492" s="4"/>
    </row>
    <row r="493" spans="18:19" ht="12.75">
      <c r="R493" s="4"/>
      <c r="S493" s="4"/>
    </row>
    <row r="494" spans="18:19" ht="12.75">
      <c r="R494" s="4"/>
      <c r="S494" s="4"/>
    </row>
    <row r="495" spans="18:19" ht="12.75">
      <c r="R495" s="4"/>
      <c r="S495" s="4"/>
    </row>
    <row r="496" spans="18:19" ht="12.75">
      <c r="R496" s="4"/>
      <c r="S496" s="4"/>
    </row>
    <row r="497" spans="18:19" ht="12.75">
      <c r="R497" s="4"/>
      <c r="S497" s="4"/>
    </row>
    <row r="498" spans="18:19" ht="12.75">
      <c r="R498" s="4"/>
      <c r="S498" s="4"/>
    </row>
    <row r="499" spans="18:19" ht="12.75">
      <c r="R499" s="4"/>
      <c r="S499" s="4"/>
    </row>
    <row r="500" spans="18:19" ht="12.75">
      <c r="R500" s="4"/>
      <c r="S500" s="4"/>
    </row>
    <row r="501" spans="18:19" ht="12.75">
      <c r="R501" s="4"/>
      <c r="S501" s="4"/>
    </row>
    <row r="502" spans="18:19" ht="12.75">
      <c r="R502" s="4"/>
      <c r="S502" s="4"/>
    </row>
    <row r="503" spans="18:19" ht="12.75">
      <c r="R503" s="4"/>
      <c r="S503" s="4"/>
    </row>
    <row r="504" spans="18:19" ht="12.75">
      <c r="R504" s="4"/>
      <c r="S504" s="4"/>
    </row>
    <row r="505" spans="18:19" ht="12.75">
      <c r="R505" s="4"/>
      <c r="S505" s="4"/>
    </row>
    <row r="506" spans="18:19" ht="12.75">
      <c r="R506" s="4"/>
      <c r="S506" s="4"/>
    </row>
    <row r="507" spans="18:19" ht="12.75">
      <c r="R507" s="4"/>
      <c r="S507" s="4"/>
    </row>
    <row r="508" spans="18:19" ht="12.75">
      <c r="R508" s="4"/>
      <c r="S508" s="4"/>
    </row>
    <row r="509" spans="18:19" ht="12.75">
      <c r="R509" s="4"/>
      <c r="S509" s="4"/>
    </row>
    <row r="510" spans="18:19" ht="12.75">
      <c r="R510" s="4"/>
      <c r="S510" s="4"/>
    </row>
    <row r="511" spans="18:19" ht="12.75">
      <c r="R511" s="4"/>
      <c r="S511" s="4"/>
    </row>
    <row r="512" spans="18:19" ht="12.75">
      <c r="R512" s="4"/>
      <c r="S512" s="4"/>
    </row>
    <row r="513" spans="18:19" ht="12.75">
      <c r="R513" s="4"/>
      <c r="S513" s="4"/>
    </row>
    <row r="514" spans="18:19" ht="12.75">
      <c r="R514" s="4"/>
      <c r="S514" s="4"/>
    </row>
    <row r="515" spans="18:19" ht="12.75">
      <c r="R515" s="4"/>
      <c r="S515" s="4"/>
    </row>
    <row r="516" spans="18:19" ht="12.75">
      <c r="R516" s="4"/>
      <c r="S516" s="4"/>
    </row>
    <row r="517" spans="18:19" ht="12.75">
      <c r="R517" s="4"/>
      <c r="S517" s="4"/>
    </row>
    <row r="518" spans="18:19" ht="12.75">
      <c r="R518" s="4"/>
      <c r="S518" s="4"/>
    </row>
    <row r="519" spans="18:19" ht="12.75">
      <c r="R519" s="4"/>
      <c r="S519" s="4"/>
    </row>
    <row r="520" spans="18:19" ht="12.75">
      <c r="R520" s="4"/>
      <c r="S520" s="4"/>
    </row>
    <row r="521" spans="18:19" ht="12.75">
      <c r="R521" s="4"/>
      <c r="S521" s="4"/>
    </row>
    <row r="522" spans="18:19" ht="12.75">
      <c r="R522" s="4"/>
      <c r="S522" s="4"/>
    </row>
    <row r="523" spans="18:19" ht="12.75">
      <c r="R523" s="4"/>
      <c r="S523" s="4"/>
    </row>
    <row r="524" spans="18:19" ht="12.75">
      <c r="R524" s="4"/>
      <c r="S524" s="4"/>
    </row>
    <row r="525" spans="18:19" ht="12.75">
      <c r="R525" s="4"/>
      <c r="S525" s="4"/>
    </row>
    <row r="526" spans="18:19" ht="12.75">
      <c r="R526" s="4"/>
      <c r="S526" s="4"/>
    </row>
    <row r="527" spans="18:19" ht="12.75">
      <c r="R527" s="4"/>
      <c r="S527" s="4"/>
    </row>
    <row r="528" spans="18:19" ht="12.75">
      <c r="R528" s="4"/>
      <c r="S528" s="4"/>
    </row>
    <row r="529" spans="18:19" ht="12.75">
      <c r="R529" s="4"/>
      <c r="S529" s="4"/>
    </row>
    <row r="530" spans="18:19" ht="12.75">
      <c r="R530" s="4"/>
      <c r="S530" s="4"/>
    </row>
    <row r="531" spans="18:19" ht="12.75">
      <c r="R531" s="4"/>
      <c r="S531" s="4"/>
    </row>
    <row r="532" spans="18:19" ht="12.75">
      <c r="R532" s="4"/>
      <c r="S532" s="4"/>
    </row>
    <row r="533" spans="18:19" ht="12.75">
      <c r="R533" s="4"/>
      <c r="S533" s="4"/>
    </row>
    <row r="534" spans="18:19" ht="12.75">
      <c r="R534" s="4"/>
      <c r="S534" s="4"/>
    </row>
    <row r="535" spans="18:19" ht="12.75">
      <c r="R535" s="4"/>
      <c r="S535" s="4"/>
    </row>
    <row r="536" spans="18:19" ht="12.75">
      <c r="R536" s="4"/>
      <c r="S536" s="4"/>
    </row>
    <row r="537" spans="18:19" ht="12.75">
      <c r="R537" s="4"/>
      <c r="S537" s="4"/>
    </row>
    <row r="538" spans="18:19" ht="12.75">
      <c r="R538" s="4"/>
      <c r="S538" s="4"/>
    </row>
    <row r="539" spans="18:19" ht="12.75">
      <c r="R539" s="4"/>
      <c r="S539" s="4"/>
    </row>
    <row r="540" spans="18:19" ht="12.75">
      <c r="R540" s="4"/>
      <c r="S540" s="4"/>
    </row>
    <row r="541" spans="18:19" ht="12.75">
      <c r="R541" s="4"/>
      <c r="S541" s="4"/>
    </row>
    <row r="542" spans="18:19" ht="12.75">
      <c r="R542" s="4"/>
      <c r="S542" s="4"/>
    </row>
    <row r="543" spans="18:19" ht="12.75">
      <c r="R543" s="4"/>
      <c r="S543" s="4"/>
    </row>
    <row r="544" spans="18:19" ht="12.75">
      <c r="R544" s="4"/>
      <c r="S544" s="4"/>
    </row>
    <row r="545" spans="18:19" ht="12.75">
      <c r="R545" s="4"/>
      <c r="S545" s="4"/>
    </row>
    <row r="546" spans="18:19" ht="12.75">
      <c r="R546" s="4"/>
      <c r="S546" s="4"/>
    </row>
    <row r="547" spans="18:19" ht="12.75">
      <c r="R547" s="4"/>
      <c r="S547" s="4"/>
    </row>
    <row r="548" spans="18:19" ht="12.75">
      <c r="R548" s="4"/>
      <c r="S548" s="4"/>
    </row>
    <row r="549" spans="18:19" ht="12.75">
      <c r="R549" s="4"/>
      <c r="S549" s="4"/>
    </row>
    <row r="550" spans="18:19" ht="12.75">
      <c r="R550" s="4"/>
      <c r="S550" s="4"/>
    </row>
    <row r="551" spans="18:19" ht="12.75">
      <c r="R551" s="4"/>
      <c r="S551" s="4"/>
    </row>
    <row r="552" spans="18:19" ht="12.75">
      <c r="R552" s="4"/>
      <c r="S552" s="4"/>
    </row>
    <row r="553" spans="18:19" ht="12.75">
      <c r="R553" s="4"/>
      <c r="S553" s="4"/>
    </row>
    <row r="554" spans="18:19" ht="12.75">
      <c r="R554" s="4"/>
      <c r="S554" s="4"/>
    </row>
    <row r="555" spans="18:19" ht="12.75">
      <c r="R555" s="4"/>
      <c r="S555" s="4"/>
    </row>
    <row r="556" spans="18:19" ht="12.75">
      <c r="R556" s="4"/>
      <c r="S556" s="4"/>
    </row>
    <row r="557" spans="18:19" ht="12.75">
      <c r="R557" s="4"/>
      <c r="S557" s="4"/>
    </row>
    <row r="558" spans="18:19" ht="12.75">
      <c r="R558" s="4"/>
      <c r="S558" s="4"/>
    </row>
    <row r="559" spans="18:19" ht="12.75">
      <c r="R559" s="4"/>
      <c r="S559" s="4"/>
    </row>
    <row r="560" spans="18:19" ht="12.75">
      <c r="R560" s="4"/>
      <c r="S560" s="4"/>
    </row>
    <row r="561" spans="18:19" ht="12.75">
      <c r="R561" s="4"/>
      <c r="S561" s="4"/>
    </row>
    <row r="562" spans="18:19" ht="12.75">
      <c r="R562" s="4"/>
      <c r="S562" s="4"/>
    </row>
    <row r="563" spans="18:19" ht="12.75">
      <c r="R563" s="4"/>
      <c r="S563" s="4"/>
    </row>
    <row r="564" spans="18:19" ht="12.75">
      <c r="R564" s="4"/>
      <c r="S564" s="4"/>
    </row>
    <row r="565" spans="18:19" ht="12.75">
      <c r="R565" s="4"/>
      <c r="S565" s="4"/>
    </row>
    <row r="566" spans="18:19" ht="12.75">
      <c r="R566" s="4"/>
      <c r="S566" s="4"/>
    </row>
    <row r="567" spans="18:19" ht="12.75">
      <c r="R567" s="4"/>
      <c r="S567" s="4"/>
    </row>
    <row r="568" spans="18:19" ht="12.75">
      <c r="R568" s="4"/>
      <c r="S568" s="4"/>
    </row>
    <row r="569" spans="18:19" ht="12.75">
      <c r="R569" s="4"/>
      <c r="S569" s="4"/>
    </row>
    <row r="570" spans="18:19" ht="12.75">
      <c r="R570" s="4"/>
      <c r="S570" s="4"/>
    </row>
    <row r="571" spans="18:19" ht="12.75">
      <c r="R571" s="4"/>
      <c r="S571" s="4"/>
    </row>
    <row r="572" spans="18:19" ht="12.75">
      <c r="R572" s="4"/>
      <c r="S572" s="4"/>
    </row>
    <row r="573" spans="18:19" ht="12.75">
      <c r="R573" s="4"/>
      <c r="S573" s="4"/>
    </row>
    <row r="574" spans="18:19" ht="12.75">
      <c r="R574" s="4"/>
      <c r="S574" s="4"/>
    </row>
    <row r="575" spans="18:19" ht="12.75">
      <c r="R575" s="4"/>
      <c r="S575" s="4"/>
    </row>
    <row r="576" spans="18:19" ht="12.75">
      <c r="R576" s="4"/>
      <c r="S576" s="4"/>
    </row>
    <row r="577" spans="18:19" ht="12.75">
      <c r="R577" s="4"/>
      <c r="S577" s="4"/>
    </row>
    <row r="578" spans="18:19" ht="12.75">
      <c r="R578" s="4"/>
      <c r="S578" s="4"/>
    </row>
    <row r="579" spans="18:19" ht="12.75">
      <c r="R579" s="4"/>
      <c r="S579" s="4"/>
    </row>
    <row r="580" spans="18:19" ht="12.75">
      <c r="R580" s="4"/>
      <c r="S580" s="4"/>
    </row>
    <row r="581" spans="18:19" ht="12.75">
      <c r="R581" s="4"/>
      <c r="S581" s="4"/>
    </row>
    <row r="582" spans="18:19" ht="12.75">
      <c r="R582" s="4"/>
      <c r="S582" s="4"/>
    </row>
    <row r="583" spans="18:19" ht="12.75">
      <c r="R583" s="4"/>
      <c r="S583" s="4"/>
    </row>
    <row r="584" spans="18:19" ht="12.75">
      <c r="R584" s="4"/>
      <c r="S584" s="4"/>
    </row>
    <row r="585" spans="18:19" ht="12.75">
      <c r="R585" s="4"/>
      <c r="S585" s="4"/>
    </row>
    <row r="586" spans="18:19" ht="12.75">
      <c r="R586" s="4"/>
      <c r="S586" s="4"/>
    </row>
    <row r="587" spans="18:19" ht="12.75">
      <c r="R587" s="4"/>
      <c r="S587" s="4"/>
    </row>
    <row r="588" spans="18:19" ht="12.75">
      <c r="R588" s="4"/>
      <c r="S588" s="4"/>
    </row>
    <row r="589" spans="18:19" ht="12.75">
      <c r="R589" s="4"/>
      <c r="S589" s="4"/>
    </row>
    <row r="590" spans="18:19" ht="12.75">
      <c r="R590" s="4"/>
      <c r="S590" s="4"/>
    </row>
    <row r="591" spans="18:19" ht="12.75">
      <c r="R591" s="4"/>
      <c r="S591" s="4"/>
    </row>
    <row r="592" spans="18:19" ht="12.75">
      <c r="R592" s="4"/>
      <c r="S592" s="4"/>
    </row>
    <row r="593" spans="18:19" ht="12.75">
      <c r="R593" s="4"/>
      <c r="S593" s="4"/>
    </row>
    <row r="594" spans="18:19" ht="12.75">
      <c r="R594" s="4"/>
      <c r="S594" s="4"/>
    </row>
    <row r="595" spans="18:19" ht="12.75">
      <c r="R595" s="4"/>
      <c r="S595" s="4"/>
    </row>
    <row r="596" spans="18:19" ht="12.75">
      <c r="R596" s="4"/>
      <c r="S596" s="4"/>
    </row>
    <row r="597" spans="18:19" ht="12.75">
      <c r="R597" s="4"/>
      <c r="S597" s="4"/>
    </row>
    <row r="598" spans="18:19" ht="12.75">
      <c r="R598" s="4"/>
      <c r="S598" s="4"/>
    </row>
    <row r="599" spans="18:19" ht="12.75">
      <c r="R599" s="4"/>
      <c r="S599" s="4"/>
    </row>
    <row r="600" spans="18:19" ht="12.75">
      <c r="R600" s="4"/>
      <c r="S600" s="4"/>
    </row>
    <row r="601" spans="18:19" ht="12.75">
      <c r="R601" s="4"/>
      <c r="S601" s="4"/>
    </row>
    <row r="602" spans="18:19" ht="12.75">
      <c r="R602" s="4"/>
      <c r="S602" s="4"/>
    </row>
    <row r="603" spans="18:19" ht="12.75">
      <c r="R603" s="4"/>
      <c r="S603" s="4"/>
    </row>
    <row r="604" spans="18:19" ht="12.75">
      <c r="R604" s="4"/>
      <c r="S604" s="4"/>
    </row>
    <row r="605" spans="18:19" ht="12.75">
      <c r="R605" s="4"/>
      <c r="S605" s="4"/>
    </row>
    <row r="606" spans="18:19" ht="12.75">
      <c r="R606" s="4"/>
      <c r="S606" s="4"/>
    </row>
    <row r="607" spans="18:19" ht="12.75">
      <c r="R607" s="4"/>
      <c r="S607" s="4"/>
    </row>
    <row r="608" spans="18:19" ht="12.75">
      <c r="R608" s="4"/>
      <c r="S608" s="4"/>
    </row>
    <row r="609" spans="18:19" ht="12.75">
      <c r="R609" s="4"/>
      <c r="S609" s="4"/>
    </row>
    <row r="610" spans="18:19" ht="12.75">
      <c r="R610" s="4"/>
      <c r="S610" s="4"/>
    </row>
    <row r="611" spans="18:19" ht="12.75">
      <c r="R611" s="4"/>
      <c r="S611" s="4"/>
    </row>
    <row r="612" spans="18:19" ht="12.75">
      <c r="R612" s="4"/>
      <c r="S612" s="4"/>
    </row>
    <row r="613" spans="18:19" ht="12.75">
      <c r="R613" s="4"/>
      <c r="S613" s="4"/>
    </row>
    <row r="614" spans="18:19" ht="12.75">
      <c r="R614" s="4"/>
      <c r="S614" s="4"/>
    </row>
    <row r="615" spans="18:19" ht="12.75">
      <c r="R615" s="4"/>
      <c r="S615" s="4"/>
    </row>
    <row r="616" spans="18:19" ht="12.75">
      <c r="R616" s="4"/>
      <c r="S616" s="4"/>
    </row>
    <row r="617" spans="18:19" ht="12.75">
      <c r="R617" s="4"/>
      <c r="S617" s="4"/>
    </row>
    <row r="618" spans="18:19" ht="12.75">
      <c r="R618" s="4"/>
      <c r="S618" s="4"/>
    </row>
    <row r="619" spans="18:19" ht="12.75">
      <c r="R619" s="4"/>
      <c r="S619" s="4"/>
    </row>
    <row r="620" spans="18:19" ht="12.75">
      <c r="R620" s="4"/>
      <c r="S620" s="4"/>
    </row>
    <row r="621" spans="18:19" ht="12.75">
      <c r="R621" s="4"/>
      <c r="S621" s="4"/>
    </row>
    <row r="622" spans="18:19" ht="12.75">
      <c r="R622" s="4"/>
      <c r="S622" s="4"/>
    </row>
    <row r="623" spans="18:19" ht="12.75">
      <c r="R623" s="4"/>
      <c r="S623" s="4"/>
    </row>
    <row r="624" spans="18:19" ht="12.75">
      <c r="R624" s="4"/>
      <c r="S624" s="4"/>
    </row>
    <row r="625" spans="18:19" ht="12.75">
      <c r="R625" s="4"/>
      <c r="S625" s="4"/>
    </row>
    <row r="626" spans="18:19" ht="12.75">
      <c r="R626" s="4"/>
      <c r="S626" s="4"/>
    </row>
    <row r="627" spans="18:19" ht="12.75">
      <c r="R627" s="4"/>
      <c r="S627" s="4"/>
    </row>
    <row r="628" spans="18:19" ht="12.75">
      <c r="R628" s="4"/>
      <c r="S628" s="4"/>
    </row>
    <row r="629" spans="18:19" ht="12.75">
      <c r="R629" s="4"/>
      <c r="S629" s="4"/>
    </row>
    <row r="630" spans="18:19" ht="12.75">
      <c r="R630" s="4"/>
      <c r="S630" s="4"/>
    </row>
    <row r="631" spans="18:19" ht="12.75">
      <c r="R631" s="4"/>
      <c r="S631" s="4"/>
    </row>
    <row r="632" spans="18:19" ht="12.75">
      <c r="R632" s="4"/>
      <c r="S632" s="4"/>
    </row>
    <row r="633" spans="18:19" ht="12.75">
      <c r="R633" s="4"/>
      <c r="S633" s="4"/>
    </row>
    <row r="634" spans="18:19" ht="12.75">
      <c r="R634" s="4"/>
      <c r="S634" s="4"/>
    </row>
    <row r="635" spans="18:19" ht="12.75">
      <c r="R635" s="4"/>
      <c r="S635" s="4"/>
    </row>
    <row r="636" spans="18:19" ht="12.75">
      <c r="R636" s="4"/>
      <c r="S636" s="4"/>
    </row>
    <row r="637" spans="18:19" ht="12.75">
      <c r="R637" s="4"/>
      <c r="S637" s="4"/>
    </row>
    <row r="638" spans="18:19" ht="12.75">
      <c r="R638" s="4"/>
      <c r="S638" s="4"/>
    </row>
    <row r="639" spans="18:19" ht="12.75">
      <c r="R639" s="4"/>
      <c r="S639" s="4"/>
    </row>
    <row r="640" spans="18:19" ht="12.75">
      <c r="R640" s="4"/>
      <c r="S640" s="4"/>
    </row>
    <row r="641" spans="18:19" ht="12.75">
      <c r="R641" s="4"/>
      <c r="S641" s="4"/>
    </row>
    <row r="642" spans="18:19" ht="12.75">
      <c r="R642" s="4"/>
      <c r="S642" s="4"/>
    </row>
    <row r="643" spans="18:19" ht="12.75">
      <c r="R643" s="4"/>
      <c r="S643" s="4"/>
    </row>
    <row r="644" spans="18:19" ht="12.75">
      <c r="R644" s="4"/>
      <c r="S644" s="4"/>
    </row>
    <row r="645" spans="18:19" ht="12.75">
      <c r="R645" s="4"/>
      <c r="S645" s="4"/>
    </row>
    <row r="646" spans="18:19" ht="12.75">
      <c r="R646" s="4"/>
      <c r="S646" s="4"/>
    </row>
    <row r="647" spans="18:19" ht="12.75">
      <c r="R647" s="4"/>
      <c r="S647" s="4"/>
    </row>
    <row r="648" spans="18:19" ht="12.75">
      <c r="R648" s="4"/>
      <c r="S648" s="4"/>
    </row>
    <row r="649" spans="18:19" ht="12.75">
      <c r="R649" s="4"/>
      <c r="S649" s="4"/>
    </row>
    <row r="650" spans="18:19" ht="12.75">
      <c r="R650" s="4"/>
      <c r="S650" s="4"/>
    </row>
    <row r="651" spans="18:19" ht="12.75">
      <c r="R651" s="4"/>
      <c r="S651" s="4"/>
    </row>
    <row r="652" spans="18:19" ht="12.75">
      <c r="R652" s="4"/>
      <c r="S652" s="4"/>
    </row>
    <row r="653" spans="18:19" ht="12.75">
      <c r="R653" s="4"/>
      <c r="S653" s="4"/>
    </row>
    <row r="654" spans="18:19" ht="12.75">
      <c r="R654" s="4"/>
      <c r="S654" s="4"/>
    </row>
    <row r="655" spans="18:19" ht="12.75">
      <c r="R655" s="4"/>
      <c r="S655" s="4"/>
    </row>
    <row r="656" spans="18:19" ht="12.75">
      <c r="R656" s="4"/>
      <c r="S656" s="4"/>
    </row>
    <row r="657" spans="18:19" ht="12.75">
      <c r="R657" s="4"/>
      <c r="S657" s="4"/>
    </row>
    <row r="658" spans="18:19" ht="12.75">
      <c r="R658" s="4"/>
      <c r="S658" s="4"/>
    </row>
    <row r="659" spans="18:19" ht="12.75">
      <c r="R659" s="4"/>
      <c r="S659" s="4"/>
    </row>
    <row r="660" spans="18:19" ht="12.75">
      <c r="R660" s="4"/>
      <c r="S660" s="4"/>
    </row>
    <row r="661" spans="18:19" ht="12.75">
      <c r="R661" s="4"/>
      <c r="S661" s="4"/>
    </row>
    <row r="662" spans="18:19" ht="12.75">
      <c r="R662" s="4"/>
      <c r="S662" s="4"/>
    </row>
    <row r="663" spans="18:19" ht="12.75">
      <c r="R663" s="4"/>
      <c r="S663" s="4"/>
    </row>
    <row r="664" spans="18:19" ht="12.75">
      <c r="R664" s="4"/>
      <c r="S664" s="4"/>
    </row>
    <row r="665" spans="18:19" ht="12.75">
      <c r="R665" s="4"/>
      <c r="S665" s="4"/>
    </row>
    <row r="666" spans="18:19" ht="12.75">
      <c r="R666" s="4"/>
      <c r="S666" s="4"/>
    </row>
    <row r="667" spans="18:19" ht="12.75">
      <c r="R667" s="4"/>
      <c r="S667" s="4"/>
    </row>
    <row r="668" spans="18:19" ht="12.75">
      <c r="R668" s="4"/>
      <c r="S668" s="4"/>
    </row>
    <row r="669" spans="18:19" ht="12.75">
      <c r="R669" s="4"/>
      <c r="S669" s="4"/>
    </row>
    <row r="670" spans="18:19" ht="12.75">
      <c r="R670" s="4"/>
      <c r="S670" s="4"/>
    </row>
    <row r="671" spans="18:19" ht="12.75">
      <c r="R671" s="4"/>
      <c r="S671" s="4"/>
    </row>
    <row r="672" spans="18:19" ht="12.75">
      <c r="R672" s="4"/>
      <c r="S672" s="4"/>
    </row>
    <row r="673" spans="18:19" ht="12.75">
      <c r="R673" s="4"/>
      <c r="S673" s="4"/>
    </row>
    <row r="674" spans="18:19" ht="12.75">
      <c r="R674" s="4"/>
      <c r="S674" s="4"/>
    </row>
    <row r="675" spans="18:19" ht="12.75">
      <c r="R675" s="4"/>
      <c r="S675" s="4"/>
    </row>
    <row r="676" spans="18:19" ht="12.75">
      <c r="R676" s="4"/>
      <c r="S676" s="4"/>
    </row>
    <row r="677" spans="18:19" ht="12.75">
      <c r="R677" s="4"/>
      <c r="S677" s="4"/>
    </row>
    <row r="678" spans="18:19" ht="12.75">
      <c r="R678" s="4"/>
      <c r="S678" s="4"/>
    </row>
    <row r="679" spans="18:19" ht="12.75">
      <c r="R679" s="4"/>
      <c r="S679" s="4"/>
    </row>
    <row r="680" spans="18:19" ht="12.75">
      <c r="R680" s="4"/>
      <c r="S680" s="4"/>
    </row>
    <row r="681" spans="18:19" ht="12.75">
      <c r="R681" s="4"/>
      <c r="S681" s="4"/>
    </row>
    <row r="682" spans="18:19" ht="12.75">
      <c r="R682" s="4"/>
      <c r="S682" s="4"/>
    </row>
    <row r="683" spans="18:19" ht="12.75">
      <c r="R683" s="4"/>
      <c r="S683" s="4"/>
    </row>
    <row r="684" spans="18:19" ht="12.75">
      <c r="R684" s="4"/>
      <c r="S684" s="4"/>
    </row>
    <row r="685" spans="18:19" ht="12.75">
      <c r="R685" s="4"/>
      <c r="S685" s="4"/>
    </row>
    <row r="686" spans="18:19" ht="12.75">
      <c r="R686" s="4"/>
      <c r="S686" s="4"/>
    </row>
    <row r="687" spans="18:19" ht="12.75">
      <c r="R687" s="4"/>
      <c r="S687" s="4"/>
    </row>
    <row r="688" spans="18:19" ht="12.75">
      <c r="R688" s="4"/>
      <c r="S688" s="4"/>
    </row>
    <row r="689" spans="18:19" ht="12.75">
      <c r="R689" s="4"/>
      <c r="S689" s="4"/>
    </row>
  </sheetData>
  <sheetProtection/>
  <mergeCells count="4">
    <mergeCell ref="N1:P1"/>
    <mergeCell ref="B1:J1"/>
    <mergeCell ref="K1:M1"/>
    <mergeCell ref="K167:M167"/>
  </mergeCells>
  <conditionalFormatting sqref="D3">
    <cfRule type="cellIs" priority="1" dxfId="0" operator="equal" stopIfTrue="1">
      <formula>$D$3</formula>
    </cfRule>
  </conditionalFormatting>
  <dataValidations count="1">
    <dataValidation allowBlank="1" showInputMessage="1" sqref="D3"/>
  </dataValidations>
  <printOptions/>
  <pageMargins left="0.25" right="0.25" top="0.92" bottom="0.5" header="0.5" footer="0.5"/>
  <pageSetup firstPageNumber="12" useFirstPageNumber="1" horizontalDpi="300" verticalDpi="300" orientation="landscape" r:id="rId1"/>
  <headerFooter alignWithMargins="0">
    <oddHeader>&amp;C&amp;"Times New Roman,Bold"&amp;12Average Weights of Species&amp;R&amp;P</oddHeader>
  </headerFooter>
  <rowBreaks count="2" manualBreakCount="2">
    <brk id="91" max="12" man="1"/>
    <brk id="118" max="255" man="1"/>
  </rowBreaks>
</worksheet>
</file>

<file path=xl/worksheets/sheet15.xml><?xml version="1.0" encoding="utf-8"?>
<worksheet xmlns="http://schemas.openxmlformats.org/spreadsheetml/2006/main" xmlns:r="http://schemas.openxmlformats.org/officeDocument/2006/relationships">
  <dimension ref="A1:H598"/>
  <sheetViews>
    <sheetView zoomScale="75" zoomScaleNormal="75" zoomScalePageLayoutView="0" workbookViewId="0" topLeftCell="A1">
      <selection activeCell="A1" sqref="A1"/>
    </sheetView>
  </sheetViews>
  <sheetFormatPr defaultColWidth="9.140625" defaultRowHeight="12.75"/>
  <cols>
    <col min="1" max="1" width="9.421875" style="197" bestFit="1" customWidth="1"/>
    <col min="2" max="2" width="79.421875" style="195" bestFit="1" customWidth="1"/>
    <col min="3" max="3" width="15.8515625" style="195" bestFit="1" customWidth="1"/>
    <col min="4" max="4" width="19.00390625" style="195" bestFit="1" customWidth="1"/>
    <col min="5" max="5" width="17.8515625" style="195" bestFit="1" customWidth="1"/>
    <col min="6" max="6" width="11.00390625" style="195" bestFit="1" customWidth="1"/>
    <col min="7" max="7" width="10.421875" style="195" customWidth="1"/>
    <col min="8" max="16384" width="9.140625" style="195" customWidth="1"/>
  </cols>
  <sheetData>
    <row r="1" s="185" customFormat="1" ht="12.75">
      <c r="A1" s="184" t="s">
        <v>155</v>
      </c>
    </row>
    <row r="2" spans="1:2" s="185" customFormat="1" ht="12.75">
      <c r="A2" s="186">
        <v>1</v>
      </c>
      <c r="B2" s="187" t="s">
        <v>371</v>
      </c>
    </row>
    <row r="3" spans="1:2" s="185" customFormat="1" ht="12.75">
      <c r="A3" s="186">
        <v>2</v>
      </c>
      <c r="B3" s="187" t="s">
        <v>372</v>
      </c>
    </row>
    <row r="4" spans="1:2" s="185" customFormat="1" ht="12.75">
      <c r="A4" s="186">
        <v>3</v>
      </c>
      <c r="B4" s="187" t="s">
        <v>611</v>
      </c>
    </row>
    <row r="5" spans="1:2" s="189" customFormat="1" ht="12.75">
      <c r="A5" s="186">
        <v>5</v>
      </c>
      <c r="B5" s="188" t="s">
        <v>156</v>
      </c>
    </row>
    <row r="6" spans="1:2" s="189" customFormat="1" ht="12.75">
      <c r="A6" s="190">
        <v>6</v>
      </c>
      <c r="B6" s="189" t="s">
        <v>381</v>
      </c>
    </row>
    <row r="7" spans="1:2" s="189" customFormat="1" ht="12.75">
      <c r="A7" s="190">
        <v>7</v>
      </c>
      <c r="B7" s="189" t="s">
        <v>382</v>
      </c>
    </row>
    <row r="8" spans="1:2" s="189" customFormat="1" ht="12.75">
      <c r="A8" s="190">
        <v>8</v>
      </c>
      <c r="B8" s="189" t="s">
        <v>380</v>
      </c>
    </row>
    <row r="9" spans="1:2" s="189" customFormat="1" ht="12.75">
      <c r="A9" s="190">
        <v>9</v>
      </c>
      <c r="B9" s="189" t="s">
        <v>383</v>
      </c>
    </row>
    <row r="10" spans="1:2" s="189" customFormat="1" ht="12.75">
      <c r="A10" s="190">
        <v>10</v>
      </c>
      <c r="B10" s="189" t="s">
        <v>370</v>
      </c>
    </row>
    <row r="11" spans="1:2" s="189" customFormat="1" ht="12.75">
      <c r="A11" s="190">
        <v>11</v>
      </c>
      <c r="B11" s="191" t="s">
        <v>373</v>
      </c>
    </row>
    <row r="12" spans="1:2" s="189" customFormat="1" ht="12.75">
      <c r="A12" s="190">
        <v>12</v>
      </c>
      <c r="B12" s="189" t="s">
        <v>384</v>
      </c>
    </row>
    <row r="13" spans="1:2" s="189" customFormat="1" ht="12.75">
      <c r="A13" s="190">
        <v>13</v>
      </c>
      <c r="B13" s="189" t="s">
        <v>376</v>
      </c>
    </row>
    <row r="14" spans="1:2" s="189" customFormat="1" ht="12.75">
      <c r="A14" s="190">
        <v>14</v>
      </c>
      <c r="B14" s="189" t="s">
        <v>385</v>
      </c>
    </row>
    <row r="15" spans="1:2" s="189" customFormat="1" ht="12.75">
      <c r="A15" s="190">
        <v>15</v>
      </c>
      <c r="B15" s="189" t="s">
        <v>386</v>
      </c>
    </row>
    <row r="16" spans="1:2" s="189" customFormat="1" ht="12.75">
      <c r="A16" s="190">
        <v>16</v>
      </c>
      <c r="B16" s="189" t="s">
        <v>377</v>
      </c>
    </row>
    <row r="17" spans="1:2" s="189" customFormat="1" ht="12.75">
      <c r="A17" s="190">
        <v>17</v>
      </c>
      <c r="B17" s="189" t="s">
        <v>378</v>
      </c>
    </row>
    <row r="18" spans="1:2" s="189" customFormat="1" ht="12.75">
      <c r="A18" s="190">
        <v>18</v>
      </c>
      <c r="B18" s="189" t="s">
        <v>379</v>
      </c>
    </row>
    <row r="19" spans="1:2" s="189" customFormat="1" ht="12.75">
      <c r="A19" s="190">
        <v>19</v>
      </c>
      <c r="B19" s="189" t="s">
        <v>140</v>
      </c>
    </row>
    <row r="20" spans="1:2" s="189" customFormat="1" ht="12.75">
      <c r="A20" s="190">
        <v>20</v>
      </c>
      <c r="B20" s="191" t="s">
        <v>374</v>
      </c>
    </row>
    <row r="21" spans="1:2" s="189" customFormat="1" ht="12.75">
      <c r="A21" s="190">
        <v>21</v>
      </c>
      <c r="B21" s="189" t="s">
        <v>614</v>
      </c>
    </row>
    <row r="22" spans="1:2" s="189" customFormat="1" ht="12.75">
      <c r="A22" s="190">
        <v>22</v>
      </c>
      <c r="B22" s="189" t="s">
        <v>615</v>
      </c>
    </row>
    <row r="23" spans="1:2" s="189" customFormat="1" ht="12.75">
      <c r="A23" s="190">
        <v>23</v>
      </c>
      <c r="B23" s="191" t="s">
        <v>375</v>
      </c>
    </row>
    <row r="24" spans="1:2" s="189" customFormat="1" ht="12.75">
      <c r="A24" s="190">
        <v>24</v>
      </c>
      <c r="B24" s="189" t="s">
        <v>613</v>
      </c>
    </row>
    <row r="25" spans="1:2" s="189" customFormat="1" ht="12.75">
      <c r="A25" s="190">
        <v>25</v>
      </c>
      <c r="B25" s="189" t="s">
        <v>391</v>
      </c>
    </row>
    <row r="26" spans="1:2" s="189" customFormat="1" ht="12.75">
      <c r="A26" s="190">
        <v>26</v>
      </c>
      <c r="B26" s="192" t="s">
        <v>157</v>
      </c>
    </row>
    <row r="27" spans="1:2" s="189" customFormat="1" ht="12.75">
      <c r="A27" s="190">
        <v>27</v>
      </c>
      <c r="B27" s="189" t="s">
        <v>585</v>
      </c>
    </row>
    <row r="28" spans="1:2" s="189" customFormat="1" ht="12.75">
      <c r="A28" s="190">
        <v>28</v>
      </c>
      <c r="B28" s="189" t="s">
        <v>586</v>
      </c>
    </row>
    <row r="29" spans="1:2" s="189" customFormat="1" ht="12.75">
      <c r="A29" s="190">
        <v>29</v>
      </c>
      <c r="B29" s="189" t="s">
        <v>75</v>
      </c>
    </row>
    <row r="30" spans="1:2" s="189" customFormat="1" ht="12.75">
      <c r="A30" s="190">
        <v>30</v>
      </c>
      <c r="B30" s="286" t="s">
        <v>587</v>
      </c>
    </row>
    <row r="31" spans="1:2" s="189" customFormat="1" ht="12.75">
      <c r="A31" s="190">
        <v>31</v>
      </c>
      <c r="B31" s="189" t="s">
        <v>612</v>
      </c>
    </row>
    <row r="32" spans="1:2" s="189" customFormat="1" ht="12.75">
      <c r="A32" s="190">
        <v>32</v>
      </c>
      <c r="B32" s="189" t="s">
        <v>158</v>
      </c>
    </row>
    <row r="33" spans="1:2" s="189" customFormat="1" ht="12.75">
      <c r="A33" s="190">
        <v>33</v>
      </c>
      <c r="B33" s="189" t="s">
        <v>588</v>
      </c>
    </row>
    <row r="34" spans="1:2" s="189" customFormat="1" ht="12.75">
      <c r="A34" s="190">
        <v>34</v>
      </c>
      <c r="B34" s="189" t="s">
        <v>590</v>
      </c>
    </row>
    <row r="35" spans="1:2" s="189" customFormat="1" ht="12.75">
      <c r="A35" s="190">
        <v>35</v>
      </c>
      <c r="B35" s="189" t="s">
        <v>589</v>
      </c>
    </row>
    <row r="36" spans="1:2" s="189" customFormat="1" ht="12.75">
      <c r="A36" s="190">
        <v>36</v>
      </c>
      <c r="B36" s="189" t="s">
        <v>591</v>
      </c>
    </row>
    <row r="37" spans="1:2" s="189" customFormat="1" ht="12.75">
      <c r="A37" s="190">
        <v>37</v>
      </c>
      <c r="B37" s="189" t="s">
        <v>592</v>
      </c>
    </row>
    <row r="38" spans="1:2" s="189" customFormat="1" ht="12.75">
      <c r="A38" s="190">
        <v>38</v>
      </c>
      <c r="B38" s="189" t="s">
        <v>593</v>
      </c>
    </row>
    <row r="39" spans="1:2" s="189" customFormat="1" ht="12.75">
      <c r="A39" s="190">
        <v>39</v>
      </c>
      <c r="B39" s="189" t="s">
        <v>594</v>
      </c>
    </row>
    <row r="40" spans="1:2" s="189" customFormat="1" ht="12.75">
      <c r="A40" s="190">
        <v>40</v>
      </c>
      <c r="B40" s="189" t="s">
        <v>595</v>
      </c>
    </row>
    <row r="41" spans="1:2" s="189" customFormat="1" ht="12.75">
      <c r="A41" s="190">
        <v>41</v>
      </c>
      <c r="B41" s="189" t="s">
        <v>596</v>
      </c>
    </row>
    <row r="42" spans="1:2" s="189" customFormat="1" ht="12.75">
      <c r="A42" s="190">
        <v>42</v>
      </c>
      <c r="B42" s="189" t="s">
        <v>597</v>
      </c>
    </row>
    <row r="43" spans="1:2" s="189" customFormat="1" ht="12.75">
      <c r="A43" s="190">
        <v>43</v>
      </c>
      <c r="B43" s="189" t="s">
        <v>598</v>
      </c>
    </row>
    <row r="44" spans="1:2" s="189" customFormat="1" ht="12.75">
      <c r="A44" s="190">
        <v>44</v>
      </c>
      <c r="B44" s="189" t="s">
        <v>599</v>
      </c>
    </row>
    <row r="45" spans="1:2" s="189" customFormat="1" ht="12.75">
      <c r="A45" s="190">
        <v>45</v>
      </c>
      <c r="B45" s="189" t="s">
        <v>606</v>
      </c>
    </row>
    <row r="46" spans="1:2" s="189" customFormat="1" ht="12.75">
      <c r="A46" s="190">
        <v>46</v>
      </c>
      <c r="B46" s="189" t="s">
        <v>607</v>
      </c>
    </row>
    <row r="47" spans="1:2" s="189" customFormat="1" ht="12.75">
      <c r="A47" s="190">
        <v>47</v>
      </c>
      <c r="B47" s="189" t="s">
        <v>608</v>
      </c>
    </row>
    <row r="48" spans="1:2" s="189" customFormat="1" ht="12.75">
      <c r="A48" s="190">
        <v>48</v>
      </c>
      <c r="B48" s="189" t="s">
        <v>609</v>
      </c>
    </row>
    <row r="49" spans="1:2" s="189" customFormat="1" ht="12.75">
      <c r="A49" s="190">
        <v>49</v>
      </c>
      <c r="B49" s="189" t="s">
        <v>610</v>
      </c>
    </row>
    <row r="50" spans="1:2" s="189" customFormat="1" ht="12.75">
      <c r="A50" s="190">
        <v>50</v>
      </c>
      <c r="B50" s="189" t="s">
        <v>476</v>
      </c>
    </row>
    <row r="51" spans="1:2" s="189" customFormat="1" ht="12.75">
      <c r="A51" s="190">
        <v>51</v>
      </c>
      <c r="B51" s="189" t="s">
        <v>484</v>
      </c>
    </row>
    <row r="52" spans="1:2" s="189" customFormat="1" ht="12.75">
      <c r="A52" s="190">
        <v>52</v>
      </c>
      <c r="B52" s="192" t="s">
        <v>159</v>
      </c>
    </row>
    <row r="53" spans="1:2" s="189" customFormat="1" ht="12.75">
      <c r="A53" s="190">
        <v>53</v>
      </c>
      <c r="B53" s="286" t="s">
        <v>160</v>
      </c>
    </row>
    <row r="54" spans="1:2" s="189" customFormat="1" ht="12.75">
      <c r="A54" s="190">
        <v>54</v>
      </c>
      <c r="B54" s="219" t="s">
        <v>670</v>
      </c>
    </row>
    <row r="55" spans="1:2" s="189" customFormat="1" ht="12.75">
      <c r="A55" s="190">
        <v>55</v>
      </c>
      <c r="B55" s="189" t="s">
        <v>672</v>
      </c>
    </row>
    <row r="56" spans="1:2" s="189" customFormat="1" ht="12.75">
      <c r="A56" s="190">
        <v>56</v>
      </c>
      <c r="B56" t="s">
        <v>673</v>
      </c>
    </row>
    <row r="57" spans="1:2" s="221" customFormat="1" ht="12.75">
      <c r="A57" s="190">
        <v>57</v>
      </c>
      <c r="B57" s="221" t="s">
        <v>674</v>
      </c>
    </row>
    <row r="58" spans="1:8" ht="12.75">
      <c r="A58" s="190">
        <v>58</v>
      </c>
      <c r="B58" s="222" t="s">
        <v>679</v>
      </c>
      <c r="C58" s="193"/>
      <c r="D58" s="194"/>
      <c r="E58" s="194"/>
      <c r="G58" s="196"/>
      <c r="H58" s="196"/>
    </row>
    <row r="59" spans="1:8" ht="12.75">
      <c r="A59" s="197">
        <v>59</v>
      </c>
      <c r="B59" s="220" t="s">
        <v>680</v>
      </c>
      <c r="C59" s="193"/>
      <c r="D59" s="194"/>
      <c r="E59" s="194"/>
      <c r="G59" s="196"/>
      <c r="H59" s="196"/>
    </row>
    <row r="60" spans="1:8" ht="12.75">
      <c r="A60" s="197">
        <v>60</v>
      </c>
      <c r="B60" s="223" t="s">
        <v>682</v>
      </c>
      <c r="C60" s="193"/>
      <c r="D60" s="194"/>
      <c r="E60" s="194"/>
      <c r="G60" s="196"/>
      <c r="H60" s="196"/>
    </row>
    <row r="61" spans="1:8" ht="12.75">
      <c r="A61" s="197">
        <v>61</v>
      </c>
      <c r="B61" s="222" t="s">
        <v>685</v>
      </c>
      <c r="G61" s="196"/>
      <c r="H61" s="196"/>
    </row>
    <row r="62" spans="1:8" ht="12.75">
      <c r="A62" s="197">
        <v>62</v>
      </c>
      <c r="B62" s="222" t="s">
        <v>687</v>
      </c>
      <c r="H62" s="196"/>
    </row>
    <row r="63" spans="1:8" ht="12.75">
      <c r="A63" s="197">
        <v>63</v>
      </c>
      <c r="B63" s="222" t="s">
        <v>691</v>
      </c>
      <c r="G63" s="196"/>
      <c r="H63" s="196"/>
    </row>
    <row r="64" spans="1:6" ht="12.75">
      <c r="A64" s="197">
        <v>64</v>
      </c>
      <c r="B64" s="222" t="s">
        <v>692</v>
      </c>
      <c r="C64" s="198"/>
      <c r="D64" s="198"/>
      <c r="E64" s="198"/>
      <c r="F64" s="199"/>
    </row>
    <row r="65" spans="1:6" ht="12.75">
      <c r="A65" s="197">
        <v>65</v>
      </c>
      <c r="B65" s="222" t="s">
        <v>690</v>
      </c>
      <c r="C65" s="198"/>
      <c r="D65" s="198"/>
      <c r="E65" s="198"/>
      <c r="F65" s="199"/>
    </row>
    <row r="66" spans="1:6" ht="12.75">
      <c r="A66" s="197">
        <v>66</v>
      </c>
      <c r="B66" s="376" t="s">
        <v>22</v>
      </c>
      <c r="C66" s="198"/>
      <c r="D66" s="198"/>
      <c r="E66" s="198"/>
      <c r="F66" s="199"/>
    </row>
    <row r="67" spans="1:6" ht="12.75">
      <c r="A67" s="197">
        <v>67</v>
      </c>
      <c r="B67" s="287" t="s">
        <v>74</v>
      </c>
      <c r="C67" s="198"/>
      <c r="D67" s="198"/>
      <c r="E67" s="198"/>
      <c r="F67" s="199"/>
    </row>
    <row r="68" spans="1:6" ht="12.75">
      <c r="A68" s="197">
        <v>68</v>
      </c>
      <c r="B68" s="222" t="s">
        <v>723</v>
      </c>
      <c r="C68" s="198"/>
      <c r="D68" s="198"/>
      <c r="E68" s="198"/>
      <c r="F68" s="199"/>
    </row>
    <row r="69" spans="1:6" ht="12.75">
      <c r="A69" s="197">
        <v>69</v>
      </c>
      <c r="B69" s="222" t="s">
        <v>728</v>
      </c>
      <c r="C69" s="198"/>
      <c r="D69" s="198"/>
      <c r="E69" s="198"/>
      <c r="F69" s="199"/>
    </row>
    <row r="70" spans="1:6" ht="12.75">
      <c r="A70" s="197">
        <v>70</v>
      </c>
      <c r="B70" s="222" t="s">
        <v>757</v>
      </c>
      <c r="C70" s="198"/>
      <c r="D70" s="198"/>
      <c r="E70" s="198"/>
      <c r="F70" s="199"/>
    </row>
    <row r="71" spans="1:6" ht="12.75">
      <c r="A71" s="197">
        <v>71</v>
      </c>
      <c r="B71" s="376" t="s">
        <v>23</v>
      </c>
      <c r="C71" s="198"/>
      <c r="D71" s="198"/>
      <c r="E71" s="198"/>
      <c r="F71" s="199"/>
    </row>
    <row r="72" spans="1:6" ht="12.75">
      <c r="A72" s="197">
        <v>72</v>
      </c>
      <c r="B72" s="222" t="s">
        <v>115</v>
      </c>
      <c r="C72" s="198"/>
      <c r="D72" s="198"/>
      <c r="E72" s="198"/>
      <c r="F72" s="199"/>
    </row>
    <row r="73" spans="1:6" ht="12.75">
      <c r="A73" s="197">
        <v>73</v>
      </c>
      <c r="B73" s="287" t="s">
        <v>811</v>
      </c>
      <c r="C73" s="198"/>
      <c r="D73" s="198"/>
      <c r="E73" s="198"/>
      <c r="F73" s="199"/>
    </row>
    <row r="74" spans="1:6" ht="12.75">
      <c r="A74" s="197">
        <v>74</v>
      </c>
      <c r="B74" s="287" t="s">
        <v>787</v>
      </c>
      <c r="C74" s="198"/>
      <c r="D74" s="198"/>
      <c r="E74" s="198"/>
      <c r="F74" s="199"/>
    </row>
    <row r="75" spans="1:6" ht="12.75">
      <c r="A75" s="197">
        <v>75</v>
      </c>
      <c r="B75" s="164" t="s">
        <v>794</v>
      </c>
      <c r="C75" s="198"/>
      <c r="D75" s="198"/>
      <c r="E75" s="198"/>
      <c r="F75" s="199"/>
    </row>
    <row r="76" spans="1:6" ht="12.75">
      <c r="A76" s="197">
        <v>76</v>
      </c>
      <c r="B76" s="286" t="s">
        <v>3</v>
      </c>
      <c r="C76" s="198"/>
      <c r="D76" s="198"/>
      <c r="E76" s="198"/>
      <c r="F76" s="199"/>
    </row>
    <row r="77" spans="1:6" ht="12.75">
      <c r="A77" s="197">
        <v>77</v>
      </c>
      <c r="B77" s="364" t="s">
        <v>9</v>
      </c>
      <c r="C77" s="198"/>
      <c r="D77" s="198"/>
      <c r="E77" s="198"/>
      <c r="F77" s="199"/>
    </row>
    <row r="78" spans="1:6" ht="12.75">
      <c r="A78" s="197">
        <v>78</v>
      </c>
      <c r="B78" s="364" t="s">
        <v>17</v>
      </c>
      <c r="C78" s="198"/>
      <c r="D78" s="198"/>
      <c r="E78" s="198"/>
      <c r="F78" s="199"/>
    </row>
    <row r="79" spans="1:6" ht="12.75">
      <c r="A79" s="197">
        <v>79</v>
      </c>
      <c r="B79" s="169" t="s">
        <v>73</v>
      </c>
      <c r="C79" s="198"/>
      <c r="D79" s="198"/>
      <c r="E79" s="198"/>
      <c r="F79" s="199"/>
    </row>
    <row r="80" spans="1:6" ht="12.75">
      <c r="A80" s="197">
        <v>80</v>
      </c>
      <c r="B80" s="195" t="s">
        <v>16</v>
      </c>
      <c r="F80" s="200"/>
    </row>
    <row r="81" spans="1:6" ht="12.75">
      <c r="A81" s="197">
        <v>81</v>
      </c>
      <c r="B81" s="372" t="s">
        <v>24</v>
      </c>
      <c r="F81" s="200"/>
    </row>
    <row r="82" spans="1:6" ht="12.75">
      <c r="A82" s="197">
        <v>82</v>
      </c>
      <c r="B82" s="195" t="s">
        <v>110</v>
      </c>
      <c r="F82" s="200"/>
    </row>
    <row r="83" spans="1:6" ht="12.75">
      <c r="A83" s="197">
        <v>83</v>
      </c>
      <c r="B83" s="372" t="s">
        <v>111</v>
      </c>
      <c r="F83" s="200"/>
    </row>
    <row r="84" spans="1:6" ht="12.75">
      <c r="A84" s="197">
        <v>84</v>
      </c>
      <c r="B84" s="372" t="s">
        <v>114</v>
      </c>
      <c r="F84" s="200"/>
    </row>
    <row r="85" spans="1:6" ht="12.75">
      <c r="A85" s="197">
        <v>85</v>
      </c>
      <c r="B85" s="364" t="s">
        <v>21</v>
      </c>
      <c r="F85" s="200"/>
    </row>
    <row r="86" spans="1:6" ht="12.75">
      <c r="A86" s="197">
        <v>86</v>
      </c>
      <c r="B86" s="372" t="s">
        <v>19</v>
      </c>
      <c r="F86" s="200"/>
    </row>
    <row r="87" spans="1:6" ht="12.75">
      <c r="A87" s="197">
        <v>87</v>
      </c>
      <c r="B87" s="195" t="s">
        <v>141</v>
      </c>
      <c r="F87" s="200"/>
    </row>
    <row r="88" spans="1:6" ht="12.75">
      <c r="A88" s="197">
        <v>88</v>
      </c>
      <c r="B88" s="372" t="s">
        <v>143</v>
      </c>
      <c r="F88" s="200"/>
    </row>
    <row r="89" spans="1:6" ht="12.75">
      <c r="A89" s="197">
        <v>89</v>
      </c>
      <c r="B89" s="372" t="s">
        <v>145</v>
      </c>
      <c r="F89" s="200"/>
    </row>
    <row r="90" spans="1:6" ht="12.75">
      <c r="A90" s="197">
        <v>90</v>
      </c>
      <c r="B90" s="195" t="s">
        <v>146</v>
      </c>
      <c r="F90" s="200"/>
    </row>
    <row r="91" spans="1:6" ht="12.75">
      <c r="A91" s="197">
        <v>91</v>
      </c>
      <c r="B91" s="372" t="s">
        <v>89</v>
      </c>
      <c r="F91" s="200"/>
    </row>
    <row r="92" spans="1:6" ht="12.75">
      <c r="A92" s="197">
        <v>92</v>
      </c>
      <c r="B92" s="372" t="s">
        <v>105</v>
      </c>
      <c r="F92" s="200"/>
    </row>
    <row r="93" spans="1:6" ht="12.75">
      <c r="A93" s="197">
        <v>93</v>
      </c>
      <c r="B93" s="195" t="s">
        <v>107</v>
      </c>
      <c r="F93" s="200"/>
    </row>
    <row r="94" spans="1:6" ht="12.75">
      <c r="A94" s="197">
        <v>94</v>
      </c>
      <c r="B94" s="195" t="s">
        <v>62</v>
      </c>
      <c r="F94" s="200"/>
    </row>
    <row r="95" spans="1:6" ht="12.75">
      <c r="A95" s="197">
        <v>95</v>
      </c>
      <c r="B95" s="372" t="s">
        <v>72</v>
      </c>
      <c r="F95" s="200"/>
    </row>
    <row r="96" spans="1:6" ht="12.75">
      <c r="A96" s="197">
        <v>96</v>
      </c>
      <c r="B96" s="533" t="s">
        <v>47</v>
      </c>
      <c r="F96" s="200"/>
    </row>
    <row r="97" spans="1:6" ht="12.75">
      <c r="A97" s="197">
        <v>97</v>
      </c>
      <c r="B97" s="364" t="s">
        <v>49</v>
      </c>
      <c r="F97" s="200"/>
    </row>
    <row r="98" spans="1:6" ht="12.75">
      <c r="A98" s="197">
        <v>98</v>
      </c>
      <c r="B98" s="364" t="s">
        <v>808</v>
      </c>
      <c r="C98" s="198"/>
      <c r="D98" s="198"/>
      <c r="E98" s="198"/>
      <c r="F98" s="199"/>
    </row>
    <row r="99" spans="1:6" ht="12.75">
      <c r="A99" s="197">
        <v>99</v>
      </c>
      <c r="B99" s="364" t="s">
        <v>809</v>
      </c>
      <c r="F99" s="200"/>
    </row>
    <row r="100" spans="1:6" ht="12.75">
      <c r="A100" s="197">
        <v>100</v>
      </c>
      <c r="B100" s="364" t="s">
        <v>810</v>
      </c>
      <c r="F100" s="200"/>
    </row>
    <row r="101" spans="1:6" ht="12.75">
      <c r="A101" s="197">
        <v>101</v>
      </c>
      <c r="B101" s="364" t="s">
        <v>818</v>
      </c>
      <c r="F101" s="200"/>
    </row>
    <row r="102" spans="1:6" ht="12.75">
      <c r="A102" s="197">
        <v>102</v>
      </c>
      <c r="B102" s="364" t="s">
        <v>819</v>
      </c>
      <c r="F102" s="200"/>
    </row>
    <row r="103" ht="12.75">
      <c r="F103" s="200"/>
    </row>
    <row r="104" ht="12.75">
      <c r="F104" s="200"/>
    </row>
    <row r="105" ht="12.75">
      <c r="F105" s="200"/>
    </row>
    <row r="106" ht="12.75">
      <c r="F106" s="200"/>
    </row>
    <row r="107" ht="12.75">
      <c r="F107" s="200"/>
    </row>
    <row r="108" ht="12.75">
      <c r="F108" s="200"/>
    </row>
    <row r="109" ht="12.75">
      <c r="F109" s="200"/>
    </row>
    <row r="110" ht="12.75">
      <c r="F110" s="200"/>
    </row>
    <row r="111" ht="12.75">
      <c r="F111" s="200"/>
    </row>
    <row r="112" ht="12.75">
      <c r="F112" s="200"/>
    </row>
    <row r="113" ht="12.75">
      <c r="F113" s="200"/>
    </row>
    <row r="114" ht="12.75">
      <c r="F114" s="200"/>
    </row>
    <row r="115" ht="12.75">
      <c r="F115" s="200"/>
    </row>
    <row r="116" ht="12.75">
      <c r="F116" s="200"/>
    </row>
    <row r="117" ht="12.75">
      <c r="F117" s="200"/>
    </row>
    <row r="118" ht="12.75">
      <c r="F118" s="200"/>
    </row>
    <row r="119" ht="12.75">
      <c r="F119" s="200"/>
    </row>
    <row r="120" ht="12.75">
      <c r="F120" s="200"/>
    </row>
    <row r="121" ht="12.75">
      <c r="F121" s="200"/>
    </row>
    <row r="122" ht="12.75">
      <c r="F122" s="200"/>
    </row>
    <row r="123" ht="12.75">
      <c r="F123" s="200"/>
    </row>
    <row r="124" ht="12.75">
      <c r="F124" s="200"/>
    </row>
    <row r="125" ht="12.75">
      <c r="F125" s="200"/>
    </row>
    <row r="126" ht="12.75">
      <c r="F126" s="200"/>
    </row>
    <row r="127" ht="12.75">
      <c r="F127" s="200"/>
    </row>
    <row r="128" ht="12.75">
      <c r="F128" s="200"/>
    </row>
    <row r="129" ht="12.75">
      <c r="F129" s="200"/>
    </row>
    <row r="130" ht="12.75">
      <c r="F130" s="200"/>
    </row>
    <row r="131" ht="12.75">
      <c r="F131" s="200"/>
    </row>
    <row r="132" ht="12.75">
      <c r="F132" s="200"/>
    </row>
    <row r="133" ht="12.75">
      <c r="F133" s="200"/>
    </row>
    <row r="134" ht="12.75">
      <c r="F134" s="200"/>
    </row>
    <row r="135" ht="12.75">
      <c r="F135" s="200"/>
    </row>
    <row r="136" ht="12.75">
      <c r="F136" s="200"/>
    </row>
    <row r="137" ht="12.75">
      <c r="F137" s="200"/>
    </row>
    <row r="138" ht="12.75">
      <c r="F138" s="200"/>
    </row>
    <row r="139" ht="12.75">
      <c r="F139" s="200"/>
    </row>
    <row r="140" ht="12.75">
      <c r="F140" s="200"/>
    </row>
    <row r="141" ht="12.75">
      <c r="F141" s="200"/>
    </row>
    <row r="142" ht="12.75">
      <c r="F142" s="200"/>
    </row>
    <row r="143" ht="12.75">
      <c r="F143" s="200"/>
    </row>
    <row r="144" ht="12.75">
      <c r="F144" s="200"/>
    </row>
    <row r="145" ht="12.75">
      <c r="F145" s="200"/>
    </row>
    <row r="146" ht="12.75">
      <c r="F146" s="200"/>
    </row>
    <row r="147" ht="12.75">
      <c r="F147" s="200"/>
    </row>
    <row r="148" ht="12.75">
      <c r="F148" s="200"/>
    </row>
    <row r="149" ht="12.75">
      <c r="F149" s="200"/>
    </row>
    <row r="150" ht="12.75">
      <c r="F150" s="200"/>
    </row>
    <row r="151" ht="12.75">
      <c r="F151" s="200"/>
    </row>
    <row r="152" ht="12.75">
      <c r="F152" s="200"/>
    </row>
    <row r="153" ht="12.75">
      <c r="F153" s="200"/>
    </row>
    <row r="154" ht="12.75">
      <c r="F154" s="200"/>
    </row>
    <row r="155" ht="12.75">
      <c r="F155" s="200"/>
    </row>
    <row r="156" ht="12.75">
      <c r="F156" s="200"/>
    </row>
    <row r="157" ht="12.75">
      <c r="F157" s="200"/>
    </row>
    <row r="158" ht="12.75">
      <c r="F158" s="200"/>
    </row>
    <row r="159" ht="12.75">
      <c r="F159" s="200"/>
    </row>
    <row r="160" ht="12.75">
      <c r="F160" s="200"/>
    </row>
    <row r="161" ht="12.75">
      <c r="F161" s="200"/>
    </row>
    <row r="162" ht="12.75">
      <c r="F162" s="200"/>
    </row>
    <row r="163" ht="12.75">
      <c r="F163" s="200"/>
    </row>
    <row r="164" ht="12.75">
      <c r="F164" s="200"/>
    </row>
    <row r="165" ht="12.75">
      <c r="F165" s="200"/>
    </row>
    <row r="166" ht="12.75">
      <c r="F166" s="200"/>
    </row>
    <row r="167" ht="12.75">
      <c r="F167" s="200"/>
    </row>
    <row r="168" ht="12.75">
      <c r="F168" s="200"/>
    </row>
    <row r="169" ht="12.75">
      <c r="F169" s="200"/>
    </row>
    <row r="170" ht="12.75">
      <c r="F170" s="200"/>
    </row>
    <row r="171" ht="12.75">
      <c r="F171" s="200"/>
    </row>
    <row r="172" ht="12.75">
      <c r="F172" s="200"/>
    </row>
    <row r="173" ht="12.75">
      <c r="F173" s="200"/>
    </row>
    <row r="174" ht="12.75">
      <c r="F174" s="200"/>
    </row>
    <row r="175" ht="12.75">
      <c r="F175" s="200"/>
    </row>
    <row r="176" ht="12.75">
      <c r="F176" s="200"/>
    </row>
    <row r="177" ht="12.75">
      <c r="F177" s="200"/>
    </row>
    <row r="178" ht="12.75">
      <c r="F178" s="200"/>
    </row>
    <row r="179" ht="12.75">
      <c r="F179" s="200"/>
    </row>
    <row r="180" ht="12.75">
      <c r="F180" s="200"/>
    </row>
    <row r="181" ht="12.75">
      <c r="F181" s="200"/>
    </row>
    <row r="182" ht="12.75">
      <c r="F182" s="200"/>
    </row>
    <row r="183" ht="12.75">
      <c r="F183" s="200"/>
    </row>
    <row r="184" ht="12.75">
      <c r="F184" s="200"/>
    </row>
    <row r="185" ht="12.75">
      <c r="F185" s="200"/>
    </row>
    <row r="186" ht="12.75">
      <c r="F186" s="200"/>
    </row>
    <row r="187" ht="12.75">
      <c r="F187" s="200"/>
    </row>
    <row r="188" ht="12.75">
      <c r="F188" s="200"/>
    </row>
    <row r="189" ht="12.75">
      <c r="F189" s="200"/>
    </row>
    <row r="190" ht="12.75">
      <c r="F190" s="200"/>
    </row>
    <row r="191" ht="12.75">
      <c r="F191" s="200"/>
    </row>
    <row r="192" ht="12.75">
      <c r="F192" s="200"/>
    </row>
    <row r="193" ht="12.75">
      <c r="F193" s="200"/>
    </row>
    <row r="194" ht="12.75">
      <c r="F194" s="200"/>
    </row>
    <row r="195" ht="12.75">
      <c r="F195" s="200"/>
    </row>
    <row r="196" ht="12.75">
      <c r="F196" s="200"/>
    </row>
    <row r="197" ht="12.75">
      <c r="F197" s="200"/>
    </row>
    <row r="198" ht="12.75">
      <c r="F198" s="200"/>
    </row>
    <row r="199" ht="12.75">
      <c r="F199" s="200"/>
    </row>
    <row r="200" ht="12.75">
      <c r="F200" s="200"/>
    </row>
    <row r="201" ht="12.75">
      <c r="F201" s="200"/>
    </row>
    <row r="202" ht="12.75">
      <c r="F202" s="200"/>
    </row>
    <row r="203" ht="12.75">
      <c r="F203" s="200"/>
    </row>
    <row r="204" ht="12.75">
      <c r="F204" s="200"/>
    </row>
    <row r="205" ht="12.75">
      <c r="F205" s="200"/>
    </row>
    <row r="206" ht="12.75">
      <c r="F206" s="200"/>
    </row>
    <row r="207" ht="12.75">
      <c r="F207" s="200"/>
    </row>
    <row r="208" ht="12.75">
      <c r="F208" s="200"/>
    </row>
    <row r="209" ht="12.75">
      <c r="F209" s="200"/>
    </row>
    <row r="210" ht="12.75">
      <c r="F210" s="200"/>
    </row>
    <row r="211" ht="12.75">
      <c r="F211" s="200"/>
    </row>
    <row r="212" ht="12.75">
      <c r="F212" s="200"/>
    </row>
    <row r="213" ht="12.75">
      <c r="F213" s="200"/>
    </row>
    <row r="214" ht="12.75">
      <c r="F214" s="200"/>
    </row>
    <row r="215" ht="12.75">
      <c r="F215" s="200"/>
    </row>
    <row r="216" ht="12.75">
      <c r="F216" s="200"/>
    </row>
    <row r="217" ht="12.75">
      <c r="F217" s="200"/>
    </row>
    <row r="218" ht="12.75">
      <c r="F218" s="200"/>
    </row>
    <row r="219" ht="12.75">
      <c r="F219" s="200"/>
    </row>
    <row r="220" ht="12.75">
      <c r="F220" s="200"/>
    </row>
    <row r="221" ht="12.75">
      <c r="F221" s="200"/>
    </row>
    <row r="222" ht="12.75">
      <c r="F222" s="200"/>
    </row>
    <row r="223" ht="12.75">
      <c r="F223" s="200"/>
    </row>
    <row r="224" ht="12.75">
      <c r="F224" s="200"/>
    </row>
    <row r="225" ht="12.75">
      <c r="F225" s="200"/>
    </row>
    <row r="226" ht="12.75">
      <c r="F226" s="200"/>
    </row>
    <row r="227" ht="12.75">
      <c r="F227" s="200"/>
    </row>
    <row r="228" ht="12.75">
      <c r="F228" s="200"/>
    </row>
    <row r="229" ht="12.75">
      <c r="F229" s="200"/>
    </row>
    <row r="230" ht="12.75">
      <c r="F230" s="200"/>
    </row>
    <row r="231" ht="12.75">
      <c r="F231" s="200"/>
    </row>
    <row r="232" ht="12.75">
      <c r="F232" s="200"/>
    </row>
    <row r="233" ht="12.75">
      <c r="F233" s="200"/>
    </row>
    <row r="234" ht="12.75">
      <c r="F234" s="200"/>
    </row>
    <row r="235" ht="12.75">
      <c r="F235" s="200"/>
    </row>
    <row r="236" ht="12.75">
      <c r="F236" s="200"/>
    </row>
    <row r="237" ht="12.75">
      <c r="F237" s="200"/>
    </row>
    <row r="238" ht="12.75">
      <c r="F238" s="200"/>
    </row>
    <row r="239" ht="12.75">
      <c r="F239" s="200"/>
    </row>
    <row r="240" ht="12.75">
      <c r="F240" s="200"/>
    </row>
    <row r="241" ht="12.75">
      <c r="F241" s="200"/>
    </row>
    <row r="242" ht="12.75">
      <c r="F242" s="200"/>
    </row>
    <row r="243" ht="12.75">
      <c r="F243" s="200"/>
    </row>
    <row r="244" ht="12.75">
      <c r="F244" s="200"/>
    </row>
    <row r="245" ht="12.75">
      <c r="F245" s="200"/>
    </row>
    <row r="246" ht="12.75">
      <c r="F246" s="200"/>
    </row>
    <row r="247" ht="12.75">
      <c r="F247" s="200"/>
    </row>
    <row r="248" ht="12.75">
      <c r="F248" s="200"/>
    </row>
    <row r="249" ht="12.75">
      <c r="F249" s="200"/>
    </row>
    <row r="250" ht="12.75">
      <c r="F250" s="200"/>
    </row>
    <row r="251" ht="12.75">
      <c r="F251" s="200"/>
    </row>
    <row r="252" ht="12.75">
      <c r="F252" s="200"/>
    </row>
    <row r="253" ht="12.75">
      <c r="F253" s="200"/>
    </row>
    <row r="254" ht="12.75">
      <c r="F254" s="200"/>
    </row>
    <row r="255" ht="12.75">
      <c r="F255" s="200"/>
    </row>
    <row r="256" ht="12.75">
      <c r="F256" s="200"/>
    </row>
    <row r="257" ht="12.75">
      <c r="F257" s="200"/>
    </row>
    <row r="258" ht="12.75">
      <c r="F258" s="200"/>
    </row>
    <row r="259" ht="12.75">
      <c r="F259" s="200"/>
    </row>
    <row r="260" ht="12.75">
      <c r="F260" s="200"/>
    </row>
    <row r="261" ht="12.75">
      <c r="F261" s="200"/>
    </row>
    <row r="262" ht="12.75">
      <c r="F262" s="200"/>
    </row>
    <row r="263" ht="12.75">
      <c r="F263" s="200"/>
    </row>
    <row r="264" ht="12.75">
      <c r="F264" s="200"/>
    </row>
    <row r="265" ht="12.75">
      <c r="F265" s="200"/>
    </row>
    <row r="266" ht="12.75">
      <c r="F266" s="200"/>
    </row>
    <row r="267" ht="12.75">
      <c r="F267" s="200"/>
    </row>
    <row r="268" ht="12.75">
      <c r="F268" s="200"/>
    </row>
    <row r="269" ht="12.75">
      <c r="F269" s="200"/>
    </row>
    <row r="270" ht="12.75">
      <c r="F270" s="200"/>
    </row>
    <row r="271" ht="12.75">
      <c r="F271" s="200"/>
    </row>
    <row r="272" ht="12.75">
      <c r="F272" s="200"/>
    </row>
    <row r="273" ht="12.75">
      <c r="F273" s="200"/>
    </row>
    <row r="274" ht="12.75">
      <c r="F274" s="200"/>
    </row>
    <row r="275" ht="12.75">
      <c r="F275" s="200"/>
    </row>
    <row r="276" ht="12.75">
      <c r="F276" s="200"/>
    </row>
    <row r="277" ht="12.75">
      <c r="F277" s="200"/>
    </row>
    <row r="278" ht="12.75">
      <c r="F278" s="200"/>
    </row>
    <row r="279" ht="12.75">
      <c r="F279" s="200"/>
    </row>
    <row r="280" ht="12.75">
      <c r="F280" s="200"/>
    </row>
    <row r="281" ht="12.75">
      <c r="F281" s="200"/>
    </row>
    <row r="282" ht="12.75">
      <c r="F282" s="200"/>
    </row>
    <row r="283" ht="12.75">
      <c r="F283" s="200"/>
    </row>
    <row r="284" ht="12.75">
      <c r="F284" s="200"/>
    </row>
    <row r="285" ht="12.75">
      <c r="F285" s="200"/>
    </row>
    <row r="286" ht="12.75">
      <c r="F286" s="200"/>
    </row>
    <row r="287" ht="12.75">
      <c r="F287" s="200"/>
    </row>
    <row r="288" ht="12.75">
      <c r="F288" s="200"/>
    </row>
    <row r="289" ht="12.75">
      <c r="F289" s="200"/>
    </row>
    <row r="290" ht="12.75">
      <c r="F290" s="200"/>
    </row>
    <row r="291" ht="12.75">
      <c r="F291" s="200"/>
    </row>
    <row r="292" ht="12.75">
      <c r="F292" s="200"/>
    </row>
    <row r="293" ht="12.75">
      <c r="F293" s="200"/>
    </row>
    <row r="294" ht="12.75">
      <c r="F294" s="200"/>
    </row>
    <row r="295" ht="12.75">
      <c r="F295" s="200"/>
    </row>
    <row r="296" ht="12.75">
      <c r="F296" s="200"/>
    </row>
    <row r="297" ht="12.75">
      <c r="F297" s="200"/>
    </row>
    <row r="298" ht="12.75">
      <c r="F298" s="200"/>
    </row>
    <row r="299" ht="12.75">
      <c r="F299" s="200"/>
    </row>
    <row r="300" ht="12.75">
      <c r="F300" s="200"/>
    </row>
    <row r="301" ht="12.75">
      <c r="F301" s="200"/>
    </row>
    <row r="302" ht="12.75">
      <c r="F302" s="200"/>
    </row>
    <row r="303" ht="12.75">
      <c r="F303" s="200"/>
    </row>
    <row r="304" ht="12.75">
      <c r="F304" s="200"/>
    </row>
    <row r="305" ht="12.75">
      <c r="F305" s="200"/>
    </row>
    <row r="306" ht="12.75">
      <c r="F306" s="200"/>
    </row>
    <row r="307" ht="12.75">
      <c r="F307" s="200"/>
    </row>
    <row r="308" ht="12.75">
      <c r="F308" s="200"/>
    </row>
    <row r="309" ht="12.75">
      <c r="F309" s="200"/>
    </row>
    <row r="310" ht="12.75">
      <c r="F310" s="200"/>
    </row>
    <row r="311" ht="12.75">
      <c r="F311" s="200"/>
    </row>
    <row r="312" ht="12.75">
      <c r="F312" s="200"/>
    </row>
    <row r="313" ht="12.75">
      <c r="F313" s="200"/>
    </row>
    <row r="314" ht="12.75">
      <c r="F314" s="200"/>
    </row>
    <row r="315" ht="12.75">
      <c r="F315" s="200"/>
    </row>
    <row r="316" ht="12.75">
      <c r="F316" s="200"/>
    </row>
    <row r="317" ht="12.75">
      <c r="F317" s="200"/>
    </row>
    <row r="318" ht="12.75">
      <c r="F318" s="200"/>
    </row>
    <row r="319" ht="12.75">
      <c r="F319" s="200"/>
    </row>
    <row r="320" ht="12.75">
      <c r="F320" s="200"/>
    </row>
    <row r="321" ht="12.75">
      <c r="F321" s="200"/>
    </row>
    <row r="322" ht="12.75">
      <c r="F322" s="200"/>
    </row>
    <row r="323" ht="12.75">
      <c r="F323" s="200"/>
    </row>
    <row r="324" ht="12.75">
      <c r="F324" s="200"/>
    </row>
    <row r="325" ht="12.75">
      <c r="F325" s="200"/>
    </row>
    <row r="326" ht="12.75">
      <c r="F326" s="200"/>
    </row>
    <row r="327" ht="12.75">
      <c r="F327" s="200"/>
    </row>
    <row r="328" ht="12.75">
      <c r="F328" s="200"/>
    </row>
    <row r="329" ht="12.75">
      <c r="F329" s="200"/>
    </row>
    <row r="330" ht="12.75">
      <c r="F330" s="200"/>
    </row>
    <row r="331" ht="12.75">
      <c r="F331" s="200"/>
    </row>
    <row r="332" ht="12.75">
      <c r="F332" s="200"/>
    </row>
    <row r="333" ht="12.75">
      <c r="F333" s="200"/>
    </row>
    <row r="334" ht="12.75">
      <c r="F334" s="200"/>
    </row>
    <row r="335" ht="12.75">
      <c r="F335" s="200"/>
    </row>
    <row r="336" ht="12.75">
      <c r="F336" s="200"/>
    </row>
    <row r="337" ht="12.75">
      <c r="F337" s="200"/>
    </row>
    <row r="338" ht="12.75">
      <c r="F338" s="200"/>
    </row>
    <row r="339" ht="12.75">
      <c r="F339" s="200"/>
    </row>
    <row r="340" ht="12.75">
      <c r="F340" s="200"/>
    </row>
    <row r="341" ht="12.75">
      <c r="F341" s="200"/>
    </row>
    <row r="342" ht="12.75">
      <c r="F342" s="200"/>
    </row>
    <row r="343" ht="12.75">
      <c r="F343" s="200"/>
    </row>
    <row r="344" ht="12.75">
      <c r="F344" s="200"/>
    </row>
    <row r="345" ht="12.75">
      <c r="F345" s="200"/>
    </row>
    <row r="346" ht="12.75">
      <c r="F346" s="200"/>
    </row>
    <row r="347" ht="12.75">
      <c r="F347" s="200"/>
    </row>
    <row r="348" ht="12.75">
      <c r="F348" s="200"/>
    </row>
    <row r="349" ht="12.75">
      <c r="F349" s="200"/>
    </row>
    <row r="350" ht="12.75">
      <c r="F350" s="200"/>
    </row>
    <row r="351" ht="12.75">
      <c r="F351" s="200"/>
    </row>
    <row r="352" ht="12.75">
      <c r="F352" s="200"/>
    </row>
    <row r="353" ht="12.75">
      <c r="F353" s="200"/>
    </row>
    <row r="354" ht="12.75">
      <c r="F354" s="200"/>
    </row>
    <row r="355" ht="12.75">
      <c r="F355" s="200"/>
    </row>
    <row r="356" ht="12.75">
      <c r="F356" s="200"/>
    </row>
    <row r="357" ht="12.75">
      <c r="F357" s="200"/>
    </row>
    <row r="358" ht="12.75">
      <c r="F358" s="200"/>
    </row>
    <row r="359" ht="12.75">
      <c r="F359" s="200"/>
    </row>
    <row r="360" ht="12.75">
      <c r="F360" s="200"/>
    </row>
    <row r="361" ht="12.75">
      <c r="F361" s="200"/>
    </row>
    <row r="362" ht="12.75">
      <c r="F362" s="200"/>
    </row>
    <row r="363" ht="12.75">
      <c r="F363" s="200"/>
    </row>
    <row r="364" ht="12.75">
      <c r="F364" s="200"/>
    </row>
    <row r="365" ht="12.75">
      <c r="F365" s="200"/>
    </row>
    <row r="366" ht="12.75">
      <c r="F366" s="200"/>
    </row>
    <row r="367" ht="12.75">
      <c r="F367" s="200"/>
    </row>
    <row r="368" ht="12.75">
      <c r="F368" s="200"/>
    </row>
    <row r="369" ht="12.75">
      <c r="F369" s="200"/>
    </row>
    <row r="370" ht="12.75">
      <c r="F370" s="200"/>
    </row>
    <row r="371" ht="12.75">
      <c r="F371" s="200"/>
    </row>
    <row r="372" ht="12.75">
      <c r="F372" s="200"/>
    </row>
    <row r="373" ht="12.75">
      <c r="F373" s="200"/>
    </row>
    <row r="374" ht="12.75">
      <c r="F374" s="200"/>
    </row>
    <row r="375" ht="12.75">
      <c r="F375" s="200"/>
    </row>
    <row r="376" ht="12.75">
      <c r="F376" s="200"/>
    </row>
    <row r="377" ht="12.75">
      <c r="F377" s="200"/>
    </row>
    <row r="378" ht="12.75">
      <c r="F378" s="200"/>
    </row>
    <row r="379" ht="12.75">
      <c r="F379" s="200"/>
    </row>
    <row r="380" ht="12.75">
      <c r="F380" s="200"/>
    </row>
    <row r="381" ht="12.75">
      <c r="F381" s="200"/>
    </row>
    <row r="382" ht="12.75">
      <c r="F382" s="200"/>
    </row>
    <row r="383" ht="12.75">
      <c r="F383" s="200"/>
    </row>
    <row r="384" ht="12.75">
      <c r="F384" s="200"/>
    </row>
    <row r="385" ht="12.75">
      <c r="F385" s="200"/>
    </row>
    <row r="386" ht="12.75">
      <c r="F386" s="200"/>
    </row>
    <row r="387" ht="12.75">
      <c r="F387" s="200"/>
    </row>
    <row r="388" ht="12.75">
      <c r="F388" s="200"/>
    </row>
    <row r="389" ht="12.75">
      <c r="F389" s="200"/>
    </row>
    <row r="390" ht="12.75">
      <c r="F390" s="200"/>
    </row>
    <row r="391" ht="12.75">
      <c r="F391" s="200"/>
    </row>
    <row r="392" ht="12.75">
      <c r="F392" s="200"/>
    </row>
    <row r="393" ht="12.75">
      <c r="F393" s="200"/>
    </row>
    <row r="394" ht="12.75">
      <c r="F394" s="200"/>
    </row>
    <row r="395" ht="12.75">
      <c r="F395" s="200"/>
    </row>
    <row r="396" ht="12.75">
      <c r="F396" s="200"/>
    </row>
    <row r="397" ht="12.75">
      <c r="F397" s="200"/>
    </row>
    <row r="398" ht="12.75">
      <c r="F398" s="200"/>
    </row>
    <row r="399" ht="12.75">
      <c r="F399" s="200"/>
    </row>
    <row r="400" ht="12.75">
      <c r="F400" s="200"/>
    </row>
    <row r="401" ht="12.75">
      <c r="F401" s="200"/>
    </row>
    <row r="402" ht="12.75">
      <c r="F402" s="200"/>
    </row>
    <row r="403" ht="12.75">
      <c r="F403" s="200"/>
    </row>
    <row r="404" ht="12.75">
      <c r="F404" s="200"/>
    </row>
    <row r="405" ht="12.75">
      <c r="F405" s="200"/>
    </row>
    <row r="406" ht="12.75">
      <c r="F406" s="200"/>
    </row>
    <row r="407" ht="12.75">
      <c r="F407" s="200"/>
    </row>
    <row r="408" ht="12.75">
      <c r="F408" s="200"/>
    </row>
    <row r="409" ht="12.75">
      <c r="F409" s="200"/>
    </row>
    <row r="410" ht="12.75">
      <c r="F410" s="200"/>
    </row>
    <row r="411" ht="12.75">
      <c r="F411" s="200"/>
    </row>
    <row r="412" ht="12.75">
      <c r="F412" s="200"/>
    </row>
    <row r="413" ht="12.75">
      <c r="F413" s="200"/>
    </row>
    <row r="414" ht="12.75">
      <c r="F414" s="200"/>
    </row>
    <row r="415" ht="12.75">
      <c r="F415" s="200"/>
    </row>
    <row r="416" ht="12.75">
      <c r="F416" s="200"/>
    </row>
    <row r="417" ht="12.75">
      <c r="F417" s="200"/>
    </row>
    <row r="418" ht="12.75">
      <c r="F418" s="200"/>
    </row>
    <row r="419" ht="12.75">
      <c r="F419" s="200"/>
    </row>
    <row r="420" ht="12.75">
      <c r="F420" s="200"/>
    </row>
    <row r="421" ht="12.75">
      <c r="F421" s="200"/>
    </row>
    <row r="422" ht="12.75">
      <c r="F422" s="200"/>
    </row>
    <row r="423" ht="12.75">
      <c r="F423" s="200"/>
    </row>
    <row r="424" ht="12.75">
      <c r="F424" s="200"/>
    </row>
    <row r="425" ht="12.75">
      <c r="F425" s="200"/>
    </row>
    <row r="426" ht="12.75">
      <c r="F426" s="200"/>
    </row>
    <row r="427" ht="12.75">
      <c r="F427" s="200"/>
    </row>
    <row r="428" ht="12.75">
      <c r="F428" s="200"/>
    </row>
    <row r="429" ht="12.75">
      <c r="F429" s="200"/>
    </row>
    <row r="430" ht="12.75">
      <c r="F430" s="200"/>
    </row>
    <row r="431" ht="12.75">
      <c r="F431" s="200"/>
    </row>
    <row r="432" ht="12.75">
      <c r="F432" s="200"/>
    </row>
    <row r="433" ht="12.75">
      <c r="F433" s="200"/>
    </row>
    <row r="434" ht="12.75">
      <c r="F434" s="200"/>
    </row>
    <row r="435" ht="12.75">
      <c r="F435" s="200"/>
    </row>
    <row r="436" ht="12.75">
      <c r="F436" s="200"/>
    </row>
    <row r="437" ht="12.75">
      <c r="F437" s="200"/>
    </row>
    <row r="438" ht="12.75">
      <c r="F438" s="200"/>
    </row>
    <row r="439" ht="12.75">
      <c r="F439" s="200"/>
    </row>
    <row r="440" ht="12.75">
      <c r="F440" s="200"/>
    </row>
    <row r="441" ht="12.75">
      <c r="F441" s="200"/>
    </row>
    <row r="442" ht="12.75">
      <c r="F442" s="200"/>
    </row>
    <row r="443" ht="12.75">
      <c r="F443" s="200"/>
    </row>
    <row r="444" ht="12.75">
      <c r="F444" s="200"/>
    </row>
    <row r="445" ht="12.75">
      <c r="F445" s="200"/>
    </row>
    <row r="446" ht="12.75">
      <c r="F446" s="200"/>
    </row>
    <row r="447" ht="12.75">
      <c r="F447" s="200"/>
    </row>
    <row r="448" ht="12.75">
      <c r="F448" s="200"/>
    </row>
    <row r="449" ht="12.75">
      <c r="F449" s="200"/>
    </row>
    <row r="450" ht="12.75">
      <c r="F450" s="200"/>
    </row>
    <row r="451" ht="12.75">
      <c r="F451" s="200"/>
    </row>
    <row r="452" ht="12.75">
      <c r="F452" s="200"/>
    </row>
    <row r="453" ht="12.75">
      <c r="F453" s="200"/>
    </row>
    <row r="454" ht="12.75">
      <c r="F454" s="200"/>
    </row>
    <row r="455" ht="12.75">
      <c r="F455" s="200"/>
    </row>
    <row r="456" ht="12.75">
      <c r="F456" s="200"/>
    </row>
    <row r="457" ht="12.75">
      <c r="F457" s="200"/>
    </row>
    <row r="458" ht="12.75">
      <c r="F458" s="200"/>
    </row>
    <row r="459" ht="12.75">
      <c r="F459" s="200"/>
    </row>
    <row r="460" ht="12.75">
      <c r="F460" s="200"/>
    </row>
    <row r="461" ht="12.75">
      <c r="F461" s="200"/>
    </row>
    <row r="462" ht="12.75">
      <c r="F462" s="200"/>
    </row>
    <row r="463" ht="12.75">
      <c r="F463" s="200"/>
    </row>
    <row r="464" ht="12.75">
      <c r="F464" s="200"/>
    </row>
    <row r="465" ht="12.75">
      <c r="F465" s="200"/>
    </row>
    <row r="466" ht="12.75">
      <c r="F466" s="200"/>
    </row>
    <row r="467" ht="12.75">
      <c r="F467" s="200"/>
    </row>
    <row r="468" ht="12.75">
      <c r="F468" s="200"/>
    </row>
    <row r="469" ht="12.75">
      <c r="F469" s="200"/>
    </row>
    <row r="470" ht="12.75">
      <c r="F470" s="200"/>
    </row>
    <row r="471" ht="12.75">
      <c r="F471" s="200"/>
    </row>
    <row r="472" ht="12.75">
      <c r="F472" s="200"/>
    </row>
    <row r="473" ht="12.75">
      <c r="F473" s="200"/>
    </row>
    <row r="474" ht="12.75">
      <c r="F474" s="200"/>
    </row>
    <row r="475" ht="12.75">
      <c r="F475" s="200"/>
    </row>
    <row r="476" ht="12.75">
      <c r="F476" s="200"/>
    </row>
    <row r="477" ht="12.75">
      <c r="F477" s="200"/>
    </row>
    <row r="478" ht="12.75">
      <c r="F478" s="200"/>
    </row>
    <row r="479" ht="12.75">
      <c r="F479" s="200"/>
    </row>
    <row r="480" ht="12.75">
      <c r="F480" s="200"/>
    </row>
    <row r="481" ht="12.75">
      <c r="F481" s="200"/>
    </row>
    <row r="482" ht="12.75">
      <c r="F482" s="200"/>
    </row>
    <row r="483" ht="12.75">
      <c r="F483" s="200"/>
    </row>
    <row r="484" ht="12.75">
      <c r="F484" s="200"/>
    </row>
    <row r="485" ht="12.75">
      <c r="F485" s="200"/>
    </row>
    <row r="486" ht="12.75">
      <c r="F486" s="200"/>
    </row>
    <row r="487" ht="12.75">
      <c r="F487" s="200"/>
    </row>
    <row r="488" ht="12.75">
      <c r="F488" s="200"/>
    </row>
    <row r="489" ht="12.75">
      <c r="F489" s="200"/>
    </row>
    <row r="490" ht="12.75">
      <c r="F490" s="200"/>
    </row>
    <row r="491" ht="12.75">
      <c r="F491" s="200"/>
    </row>
    <row r="492" ht="12.75">
      <c r="F492" s="200"/>
    </row>
    <row r="493" ht="12.75">
      <c r="F493" s="200"/>
    </row>
    <row r="494" ht="12.75">
      <c r="F494" s="200"/>
    </row>
    <row r="495" ht="12.75">
      <c r="F495" s="200"/>
    </row>
    <row r="496" ht="12.75">
      <c r="F496" s="200"/>
    </row>
    <row r="497" ht="12.75">
      <c r="F497" s="200"/>
    </row>
    <row r="498" ht="12.75">
      <c r="F498" s="200"/>
    </row>
    <row r="499" ht="12.75">
      <c r="F499" s="200"/>
    </row>
    <row r="500" ht="12.75">
      <c r="F500" s="200"/>
    </row>
    <row r="501" ht="12.75">
      <c r="F501" s="200"/>
    </row>
    <row r="502" ht="12.75">
      <c r="F502" s="200"/>
    </row>
    <row r="503" ht="12.75">
      <c r="F503" s="200"/>
    </row>
    <row r="504" ht="12.75">
      <c r="F504" s="200"/>
    </row>
    <row r="505" ht="12.75">
      <c r="F505" s="200"/>
    </row>
    <row r="506" ht="12.75">
      <c r="F506" s="200"/>
    </row>
    <row r="507" ht="12.75">
      <c r="F507" s="200"/>
    </row>
    <row r="508" ht="12.75">
      <c r="F508" s="200"/>
    </row>
    <row r="509" ht="12.75">
      <c r="F509" s="200"/>
    </row>
    <row r="510" ht="12.75">
      <c r="F510" s="200"/>
    </row>
    <row r="511" ht="12.75">
      <c r="F511" s="200"/>
    </row>
    <row r="512" ht="12.75">
      <c r="F512" s="200"/>
    </row>
    <row r="513" ht="12.75">
      <c r="F513" s="200"/>
    </row>
    <row r="514" ht="12.75">
      <c r="F514" s="200"/>
    </row>
    <row r="515" ht="12.75">
      <c r="F515" s="200"/>
    </row>
    <row r="516" ht="12.75">
      <c r="F516" s="200"/>
    </row>
    <row r="517" ht="12.75">
      <c r="F517" s="200"/>
    </row>
    <row r="518" ht="12.75">
      <c r="F518" s="200"/>
    </row>
    <row r="519" ht="12.75">
      <c r="F519" s="200"/>
    </row>
    <row r="520" ht="12.75">
      <c r="F520" s="200"/>
    </row>
    <row r="521" ht="12.75">
      <c r="F521" s="200"/>
    </row>
    <row r="522" ht="12.75">
      <c r="F522" s="200"/>
    </row>
    <row r="523" ht="12.75">
      <c r="F523" s="200"/>
    </row>
    <row r="524" ht="12.75">
      <c r="F524" s="200"/>
    </row>
    <row r="525" ht="12.75">
      <c r="F525" s="200"/>
    </row>
    <row r="526" ht="12.75">
      <c r="F526" s="200"/>
    </row>
    <row r="527" ht="12.75">
      <c r="F527" s="200"/>
    </row>
    <row r="528" ht="12.75">
      <c r="F528" s="200"/>
    </row>
    <row r="529" ht="12.75">
      <c r="F529" s="200"/>
    </row>
    <row r="530" ht="12.75">
      <c r="F530" s="200"/>
    </row>
    <row r="531" ht="12.75">
      <c r="F531" s="200"/>
    </row>
    <row r="532" ht="12.75">
      <c r="F532" s="200"/>
    </row>
    <row r="533" ht="12.75">
      <c r="F533" s="200"/>
    </row>
    <row r="534" ht="12.75">
      <c r="F534" s="200"/>
    </row>
    <row r="535" ht="12.75">
      <c r="F535" s="200"/>
    </row>
    <row r="536" ht="12.75">
      <c r="F536" s="200"/>
    </row>
    <row r="537" ht="12.75">
      <c r="F537" s="200"/>
    </row>
    <row r="538" ht="12.75">
      <c r="F538" s="200"/>
    </row>
    <row r="539" ht="12.75">
      <c r="F539" s="200"/>
    </row>
    <row r="540" ht="12.75">
      <c r="F540" s="200"/>
    </row>
    <row r="541" ht="12.75">
      <c r="F541" s="200"/>
    </row>
    <row r="542" ht="12.75">
      <c r="F542" s="200"/>
    </row>
    <row r="543" ht="12.75">
      <c r="F543" s="200"/>
    </row>
    <row r="544" ht="12.75">
      <c r="F544" s="200"/>
    </row>
    <row r="545" ht="12.75">
      <c r="F545" s="200"/>
    </row>
    <row r="546" ht="12.75">
      <c r="F546" s="200"/>
    </row>
    <row r="547" ht="12.75">
      <c r="F547" s="200"/>
    </row>
    <row r="548" ht="12.75">
      <c r="F548" s="200"/>
    </row>
    <row r="549" ht="12.75">
      <c r="F549" s="200"/>
    </row>
    <row r="550" ht="12.75">
      <c r="F550" s="200"/>
    </row>
    <row r="551" ht="12.75">
      <c r="F551" s="200"/>
    </row>
    <row r="552" ht="12.75">
      <c r="F552" s="200"/>
    </row>
    <row r="553" ht="12.75">
      <c r="F553" s="200"/>
    </row>
    <row r="554" ht="12.75">
      <c r="F554" s="200"/>
    </row>
    <row r="555" ht="12.75">
      <c r="F555" s="200"/>
    </row>
    <row r="556" ht="12.75">
      <c r="F556" s="200"/>
    </row>
    <row r="557" ht="12.75">
      <c r="F557" s="200"/>
    </row>
    <row r="558" ht="12.75">
      <c r="F558" s="200"/>
    </row>
    <row r="559" ht="12.75">
      <c r="F559" s="200"/>
    </row>
    <row r="560" ht="12.75">
      <c r="F560" s="200"/>
    </row>
    <row r="561" ht="12.75">
      <c r="F561" s="200"/>
    </row>
    <row r="562" ht="12.75">
      <c r="F562" s="200"/>
    </row>
    <row r="563" ht="12.75">
      <c r="F563" s="200"/>
    </row>
    <row r="564" ht="12.75">
      <c r="F564" s="200"/>
    </row>
    <row r="565" ht="12.75">
      <c r="F565" s="200"/>
    </row>
    <row r="566" ht="12.75">
      <c r="F566" s="200"/>
    </row>
    <row r="567" ht="12.75">
      <c r="F567" s="200"/>
    </row>
    <row r="568" ht="12.75">
      <c r="F568" s="200"/>
    </row>
    <row r="569" ht="12.75">
      <c r="F569" s="200"/>
    </row>
    <row r="570" ht="12.75">
      <c r="F570" s="200"/>
    </row>
    <row r="571" ht="12.75">
      <c r="F571" s="200"/>
    </row>
    <row r="572" ht="12.75">
      <c r="F572" s="200"/>
    </row>
    <row r="573" ht="12.75">
      <c r="F573" s="200"/>
    </row>
    <row r="574" ht="12.75">
      <c r="F574" s="200"/>
    </row>
    <row r="575" ht="12.75">
      <c r="F575" s="200"/>
    </row>
    <row r="576" ht="12.75">
      <c r="F576" s="200"/>
    </row>
    <row r="577" ht="12.75">
      <c r="F577" s="200"/>
    </row>
    <row r="578" ht="12.75">
      <c r="F578" s="200"/>
    </row>
    <row r="579" ht="12.75">
      <c r="F579" s="200"/>
    </row>
    <row r="580" ht="12.75">
      <c r="F580" s="200"/>
    </row>
    <row r="581" ht="12.75">
      <c r="F581" s="200"/>
    </row>
    <row r="582" ht="12.75">
      <c r="F582" s="200"/>
    </row>
    <row r="583" ht="12.75">
      <c r="F583" s="200"/>
    </row>
    <row r="584" ht="12.75">
      <c r="F584" s="200"/>
    </row>
    <row r="585" ht="12.75">
      <c r="F585" s="200"/>
    </row>
    <row r="586" ht="12.75">
      <c r="F586" s="200"/>
    </row>
    <row r="587" ht="12.75">
      <c r="F587" s="200"/>
    </row>
    <row r="588" ht="12.75">
      <c r="F588" s="200"/>
    </row>
    <row r="589" ht="12.75">
      <c r="F589" s="200"/>
    </row>
    <row r="590" ht="12.75">
      <c r="F590" s="200"/>
    </row>
    <row r="591" ht="12.75">
      <c r="F591" s="200"/>
    </row>
    <row r="592" ht="12.75">
      <c r="F592" s="200"/>
    </row>
    <row r="593" ht="12.75">
      <c r="F593" s="200"/>
    </row>
    <row r="594" ht="12.75">
      <c r="F594" s="200"/>
    </row>
    <row r="595" ht="12.75">
      <c r="F595" s="200"/>
    </row>
    <row r="596" ht="12.75">
      <c r="F596" s="200"/>
    </row>
    <row r="597" ht="12.75">
      <c r="F597" s="200"/>
    </row>
    <row r="598" ht="12.75">
      <c r="F598" s="200"/>
    </row>
  </sheetData>
  <sheetProtection/>
  <printOptions/>
  <pageMargins left="0.75" right="0.75" top="1" bottom="1" header="0.5" footer="0.5"/>
  <pageSetup firstPageNumber="17" useFirstPageNumber="1" horizontalDpi="300" verticalDpi="300" orientation="portrait" r:id="rId1"/>
  <headerFooter alignWithMargins="0">
    <oddHeader>&amp;C&amp;"Times New Roman,Bold"&amp;12References&amp;R&amp;P</oddHeader>
  </headerFooter>
</worksheet>
</file>

<file path=xl/worksheets/sheet2.xml><?xml version="1.0" encoding="utf-8"?>
<worksheet xmlns="http://schemas.openxmlformats.org/spreadsheetml/2006/main" xmlns:r="http://schemas.openxmlformats.org/officeDocument/2006/relationships">
  <dimension ref="A2:Y646"/>
  <sheetViews>
    <sheetView zoomScale="80" zoomScaleNormal="80" zoomScalePageLayoutView="0" workbookViewId="0" topLeftCell="B28">
      <selection activeCell="F51" sqref="F51"/>
    </sheetView>
  </sheetViews>
  <sheetFormatPr defaultColWidth="9.140625" defaultRowHeight="12.75"/>
  <cols>
    <col min="1" max="1" width="9.28125" style="1" bestFit="1" customWidth="1"/>
    <col min="2" max="2" width="26.8515625" style="1" customWidth="1"/>
    <col min="3" max="3" width="13.140625" style="3" hidden="1" customWidth="1"/>
    <col min="4" max="4" width="16.00390625" style="3" customWidth="1"/>
    <col min="5" max="5" width="17.421875" style="3" hidden="1" customWidth="1"/>
    <col min="6" max="6" width="17.421875" style="3" customWidth="1"/>
    <col min="7" max="7" width="9.28125" style="27" bestFit="1" customWidth="1"/>
    <col min="8" max="8" width="8.421875" style="27" customWidth="1"/>
    <col min="9" max="9" width="8.28125" style="27" customWidth="1"/>
    <col min="10" max="10" width="14.140625" style="27" bestFit="1" customWidth="1"/>
    <col min="11" max="11" width="10.28125" style="27" bestFit="1" customWidth="1"/>
    <col min="12" max="12" width="16.00390625" style="27" bestFit="1" customWidth="1"/>
    <col min="13" max="14" width="9.28125" style="27" bestFit="1" customWidth="1"/>
    <col min="15" max="15" width="13.7109375" style="27" bestFit="1" customWidth="1"/>
    <col min="16" max="16" width="18.421875" style="34" bestFit="1" customWidth="1"/>
    <col min="17" max="17" width="20.421875" style="34" bestFit="1" customWidth="1"/>
    <col min="18" max="18" width="26.00390625" style="5" customWidth="1"/>
    <col min="19" max="19" width="8.7109375" style="5" bestFit="1" customWidth="1"/>
    <col min="20" max="20" width="5.421875" style="1" customWidth="1"/>
    <col min="21" max="24" width="9.140625" style="9" customWidth="1"/>
    <col min="25" max="25" width="9.140625" style="10" customWidth="1"/>
    <col min="26" max="16384" width="9.140625" style="1" customWidth="1"/>
  </cols>
  <sheetData>
    <row r="2" ht="12.75">
      <c r="F2" s="3">
        <f>400/28.35</f>
        <v>14.109347442680775</v>
      </c>
    </row>
    <row r="4" spans="2:25" ht="13.5" thickBot="1">
      <c r="B4" s="2" t="s">
        <v>468</v>
      </c>
      <c r="D4" s="44"/>
      <c r="U4" s="6" t="s">
        <v>330</v>
      </c>
      <c r="V4" s="7"/>
      <c r="W4" s="7"/>
      <c r="X4" s="7"/>
      <c r="Y4" s="8"/>
    </row>
    <row r="5" ht="13.5" thickTop="1">
      <c r="U5" s="9" t="s">
        <v>166</v>
      </c>
    </row>
    <row r="6" spans="2:25" s="11" customFormat="1" ht="13.5">
      <c r="B6" s="12" t="s">
        <v>169</v>
      </c>
      <c r="C6" s="13" t="s">
        <v>364</v>
      </c>
      <c r="D6" s="13" t="s">
        <v>362</v>
      </c>
      <c r="E6" s="13" t="s">
        <v>365</v>
      </c>
      <c r="F6" s="13" t="s">
        <v>363</v>
      </c>
      <c r="G6" s="28" t="s">
        <v>368</v>
      </c>
      <c r="H6" s="28" t="s">
        <v>454</v>
      </c>
      <c r="I6" s="28" t="s">
        <v>455</v>
      </c>
      <c r="J6" s="28" t="s">
        <v>456</v>
      </c>
      <c r="K6" s="28" t="s">
        <v>458</v>
      </c>
      <c r="L6" s="28" t="s">
        <v>459</v>
      </c>
      <c r="M6" s="28" t="s">
        <v>388</v>
      </c>
      <c r="N6" s="28" t="s">
        <v>389</v>
      </c>
      <c r="O6" s="28" t="s">
        <v>460</v>
      </c>
      <c r="P6" s="35" t="s">
        <v>462</v>
      </c>
      <c r="Q6" s="35" t="s">
        <v>463</v>
      </c>
      <c r="R6" s="14" t="s">
        <v>367</v>
      </c>
      <c r="S6" s="14" t="s">
        <v>366</v>
      </c>
      <c r="U6" s="9" t="s">
        <v>331</v>
      </c>
      <c r="V6" s="15"/>
      <c r="W6" s="15"/>
      <c r="X6" s="15"/>
      <c r="Y6" s="16"/>
    </row>
    <row r="7" spans="1:21" ht="13.5">
      <c r="A7" s="17" t="s">
        <v>285</v>
      </c>
      <c r="B7" s="18" t="s">
        <v>170</v>
      </c>
      <c r="C7" s="19">
        <v>1160</v>
      </c>
      <c r="D7" s="19">
        <f>1000*C7</f>
        <v>1160000</v>
      </c>
      <c r="E7" s="19">
        <v>1160</v>
      </c>
      <c r="F7" s="19">
        <f>1000*E7</f>
        <v>1160000</v>
      </c>
      <c r="G7" s="29"/>
      <c r="H7" s="29">
        <f>14/16</f>
        <v>0.875</v>
      </c>
      <c r="I7" s="29"/>
      <c r="J7" s="29"/>
      <c r="K7" s="29">
        <f>AVERAGE(H7,J7)</f>
        <v>0.875</v>
      </c>
      <c r="L7" s="29">
        <f>0.85*K7</f>
        <v>0.74375</v>
      </c>
      <c r="M7" s="29">
        <v>0.75</v>
      </c>
      <c r="N7" s="33"/>
      <c r="O7" s="29">
        <f>AVERAGE(L7:N7)</f>
        <v>0.746875</v>
      </c>
      <c r="P7" s="36">
        <f>D7/O7</f>
        <v>1553138.0753138077</v>
      </c>
      <c r="Q7" s="36">
        <f>F7/O7</f>
        <v>1553138.0753138077</v>
      </c>
      <c r="R7" s="21" t="s">
        <v>390</v>
      </c>
      <c r="S7" s="22" t="s">
        <v>259</v>
      </c>
      <c r="U7" s="9" t="s">
        <v>332</v>
      </c>
    </row>
    <row r="8" spans="2:21" ht="12.75">
      <c r="B8" s="18" t="s">
        <v>171</v>
      </c>
      <c r="C8" s="19">
        <v>12738</v>
      </c>
      <c r="D8" s="19">
        <f aca="true" t="shared" si="0" ref="D8:D71">1000*C8</f>
        <v>12738000</v>
      </c>
      <c r="E8" s="19">
        <v>12738</v>
      </c>
      <c r="F8" s="19">
        <f aca="true" t="shared" si="1" ref="F8:F71">1000*E8</f>
        <v>12738000</v>
      </c>
      <c r="G8" s="29"/>
      <c r="H8" s="29"/>
      <c r="I8" s="29"/>
      <c r="J8" s="29"/>
      <c r="K8" s="29"/>
      <c r="L8" s="29"/>
      <c r="M8" s="29">
        <f>(19/28.35)/16</f>
        <v>0.04188712522045855</v>
      </c>
      <c r="N8" s="29"/>
      <c r="O8" s="29">
        <f aca="true" t="shared" si="2" ref="O8:O71">AVERAGE(L8:N8)</f>
        <v>0.04188712522045855</v>
      </c>
      <c r="P8" s="36">
        <f aca="true" t="shared" si="3" ref="P8:P70">D8/O8</f>
        <v>304102989.47368425</v>
      </c>
      <c r="Q8" s="36">
        <f aca="true" t="shared" si="4" ref="Q8:Q70">F8/O8</f>
        <v>304102989.47368425</v>
      </c>
      <c r="R8" s="21" t="s">
        <v>387</v>
      </c>
      <c r="S8" s="22">
        <v>24</v>
      </c>
      <c r="U8" s="9" t="s">
        <v>333</v>
      </c>
    </row>
    <row r="9" spans="2:21" ht="12.75">
      <c r="B9" s="18" t="s">
        <v>172</v>
      </c>
      <c r="C9" s="19">
        <v>131258</v>
      </c>
      <c r="D9" s="19">
        <f t="shared" si="0"/>
        <v>131258000</v>
      </c>
      <c r="E9" s="19">
        <v>131257</v>
      </c>
      <c r="F9" s="19">
        <f t="shared" si="1"/>
        <v>131257000</v>
      </c>
      <c r="G9" s="29"/>
      <c r="H9" s="29">
        <v>2</v>
      </c>
      <c r="I9" s="29"/>
      <c r="J9" s="29"/>
      <c r="K9" s="29">
        <f aca="true" t="shared" si="5" ref="K9:K70">AVERAGE(H9,J9)</f>
        <v>2</v>
      </c>
      <c r="L9" s="29">
        <f aca="true" t="shared" si="6" ref="L9:L70">0.85*K9</f>
        <v>1.7</v>
      </c>
      <c r="M9" s="29"/>
      <c r="N9" s="29"/>
      <c r="O9" s="29">
        <f t="shared" si="2"/>
        <v>1.7</v>
      </c>
      <c r="P9" s="36">
        <f t="shared" si="3"/>
        <v>77210588.23529412</v>
      </c>
      <c r="Q9" s="36">
        <f t="shared" si="4"/>
        <v>77210000</v>
      </c>
      <c r="R9" s="21" t="s">
        <v>369</v>
      </c>
      <c r="S9" s="22">
        <v>10</v>
      </c>
      <c r="U9" s="9" t="s">
        <v>161</v>
      </c>
    </row>
    <row r="10" spans="2:21" ht="12.75">
      <c r="B10" s="18" t="s">
        <v>173</v>
      </c>
      <c r="C10" s="19">
        <v>9307</v>
      </c>
      <c r="D10" s="19">
        <f t="shared" si="0"/>
        <v>9307000</v>
      </c>
      <c r="E10" s="19">
        <v>9307</v>
      </c>
      <c r="F10" s="19">
        <f t="shared" si="1"/>
        <v>9307000</v>
      </c>
      <c r="G10" s="29">
        <v>31.75</v>
      </c>
      <c r="H10" s="29">
        <v>31</v>
      </c>
      <c r="I10" s="29">
        <f>H10/G10</f>
        <v>0.9763779527559056</v>
      </c>
      <c r="J10" s="29">
        <f>0.73*G10</f>
        <v>23.1775</v>
      </c>
      <c r="K10" s="29">
        <f t="shared" si="5"/>
        <v>27.088749999999997</v>
      </c>
      <c r="L10" s="29">
        <f t="shared" si="6"/>
        <v>23.0254375</v>
      </c>
      <c r="M10" s="29">
        <v>27</v>
      </c>
      <c r="N10" s="29">
        <v>3</v>
      </c>
      <c r="O10" s="29">
        <f t="shared" si="2"/>
        <v>17.675145833333332</v>
      </c>
      <c r="P10" s="36">
        <f t="shared" si="3"/>
        <v>526558.5974656033</v>
      </c>
      <c r="Q10" s="36">
        <f t="shared" si="4"/>
        <v>526558.5974656033</v>
      </c>
      <c r="R10" s="21" t="s">
        <v>392</v>
      </c>
      <c r="S10" s="22" t="s">
        <v>260</v>
      </c>
      <c r="U10" s="9" t="s">
        <v>162</v>
      </c>
    </row>
    <row r="11" spans="2:21" ht="12.75">
      <c r="B11" s="18" t="s">
        <v>174</v>
      </c>
      <c r="C11" s="19">
        <v>352</v>
      </c>
      <c r="D11" s="19">
        <f t="shared" si="0"/>
        <v>352000</v>
      </c>
      <c r="E11" s="19">
        <v>352</v>
      </c>
      <c r="F11" s="19">
        <f t="shared" si="1"/>
        <v>352000</v>
      </c>
      <c r="G11" s="29"/>
      <c r="H11" s="31">
        <v>1</v>
      </c>
      <c r="I11" s="29"/>
      <c r="J11" s="29"/>
      <c r="K11" s="29">
        <f t="shared" si="5"/>
        <v>1</v>
      </c>
      <c r="L11" s="29">
        <f t="shared" si="6"/>
        <v>0.85</v>
      </c>
      <c r="M11" s="29"/>
      <c r="N11" s="29"/>
      <c r="O11" s="29">
        <f t="shared" si="2"/>
        <v>0.85</v>
      </c>
      <c r="P11" s="36">
        <f t="shared" si="3"/>
        <v>414117.64705882355</v>
      </c>
      <c r="Q11" s="36">
        <f t="shared" si="4"/>
        <v>414117.64705882355</v>
      </c>
      <c r="R11" s="21"/>
      <c r="S11" s="22">
        <v>20</v>
      </c>
      <c r="U11" s="9" t="s">
        <v>163</v>
      </c>
    </row>
    <row r="12" spans="2:21" ht="12.75">
      <c r="B12" s="18" t="s">
        <v>175</v>
      </c>
      <c r="C12" s="19">
        <v>993</v>
      </c>
      <c r="D12" s="19">
        <f t="shared" si="0"/>
        <v>993000</v>
      </c>
      <c r="E12" s="19">
        <v>993</v>
      </c>
      <c r="F12" s="19">
        <f t="shared" si="1"/>
        <v>993000</v>
      </c>
      <c r="G12" s="29"/>
      <c r="H12" s="31">
        <v>12</v>
      </c>
      <c r="I12" s="29"/>
      <c r="J12" s="29"/>
      <c r="K12" s="29">
        <f t="shared" si="5"/>
        <v>12</v>
      </c>
      <c r="L12" s="29">
        <f t="shared" si="6"/>
        <v>10.2</v>
      </c>
      <c r="M12" s="29"/>
      <c r="N12" s="29"/>
      <c r="O12" s="29">
        <f t="shared" si="2"/>
        <v>10.2</v>
      </c>
      <c r="P12" s="36">
        <f t="shared" si="3"/>
        <v>97352.9411764706</v>
      </c>
      <c r="Q12" s="36">
        <f t="shared" si="4"/>
        <v>97352.9411764706</v>
      </c>
      <c r="R12" s="21" t="s">
        <v>393</v>
      </c>
      <c r="S12" s="22">
        <v>5</v>
      </c>
      <c r="U12" s="9" t="s">
        <v>164</v>
      </c>
    </row>
    <row r="13" spans="2:21" ht="12.75">
      <c r="B13" s="18" t="s">
        <v>176</v>
      </c>
      <c r="C13" s="19">
        <v>7544</v>
      </c>
      <c r="D13" s="19">
        <f t="shared" si="0"/>
        <v>7544000</v>
      </c>
      <c r="E13" s="19">
        <v>7544</v>
      </c>
      <c r="F13" s="19">
        <f t="shared" si="1"/>
        <v>7544000</v>
      </c>
      <c r="G13" s="29"/>
      <c r="H13" s="27">
        <f>0.5*2.205</f>
        <v>1.1025</v>
      </c>
      <c r="I13" s="29"/>
      <c r="J13" s="29"/>
      <c r="K13" s="29">
        <f t="shared" si="5"/>
        <v>1.1025</v>
      </c>
      <c r="L13" s="29">
        <f t="shared" si="6"/>
        <v>0.937125</v>
      </c>
      <c r="M13" s="29">
        <v>0.5</v>
      </c>
      <c r="N13" s="29"/>
      <c r="O13" s="29">
        <f t="shared" si="2"/>
        <v>0.7185625</v>
      </c>
      <c r="P13" s="36">
        <f t="shared" si="3"/>
        <v>10498738.80142646</v>
      </c>
      <c r="Q13" s="36">
        <f t="shared" si="4"/>
        <v>10498738.80142646</v>
      </c>
      <c r="R13" s="21"/>
      <c r="S13" s="22" t="s">
        <v>261</v>
      </c>
      <c r="U13" s="9" t="s">
        <v>165</v>
      </c>
    </row>
    <row r="14" spans="2:21" ht="12.75">
      <c r="B14" s="18" t="s">
        <v>177</v>
      </c>
      <c r="C14" s="19">
        <v>15150</v>
      </c>
      <c r="D14" s="19">
        <f t="shared" si="0"/>
        <v>15150000</v>
      </c>
      <c r="E14" s="19">
        <v>15150</v>
      </c>
      <c r="F14" s="19">
        <f t="shared" si="1"/>
        <v>15150000</v>
      </c>
      <c r="G14" s="29">
        <v>3.75</v>
      </c>
      <c r="H14" s="31"/>
      <c r="I14" s="29"/>
      <c r="J14" s="29">
        <f>0.73*G14</f>
        <v>2.7375</v>
      </c>
      <c r="K14" s="29">
        <f t="shared" si="5"/>
        <v>2.7375</v>
      </c>
      <c r="L14" s="29">
        <f t="shared" si="6"/>
        <v>2.326875</v>
      </c>
      <c r="M14" s="29">
        <v>7.5</v>
      </c>
      <c r="N14" s="29"/>
      <c r="O14" s="29">
        <f>AVERAGE(L14:N14)</f>
        <v>4.9134375</v>
      </c>
      <c r="P14" s="36">
        <f t="shared" si="3"/>
        <v>3083381.0341537874</v>
      </c>
      <c r="Q14" s="36">
        <f t="shared" si="4"/>
        <v>3083381.0341537874</v>
      </c>
      <c r="R14" s="21" t="s">
        <v>242</v>
      </c>
      <c r="S14" s="22" t="s">
        <v>258</v>
      </c>
      <c r="U14" s="9" t="s">
        <v>461</v>
      </c>
    </row>
    <row r="15" spans="2:21" ht="12.75">
      <c r="B15" s="18" t="s">
        <v>327</v>
      </c>
      <c r="C15" s="19">
        <v>3070</v>
      </c>
      <c r="D15" s="19">
        <f t="shared" si="0"/>
        <v>3070000</v>
      </c>
      <c r="E15" s="19">
        <v>3070</v>
      </c>
      <c r="F15" s="19">
        <f t="shared" si="1"/>
        <v>3070000</v>
      </c>
      <c r="G15" s="29">
        <v>0.75</v>
      </c>
      <c r="H15" s="29"/>
      <c r="I15" s="29"/>
      <c r="J15" s="29">
        <f>0.73*G15</f>
        <v>0.5475</v>
      </c>
      <c r="K15" s="29">
        <f t="shared" si="5"/>
        <v>0.5475</v>
      </c>
      <c r="L15" s="29">
        <f t="shared" si="6"/>
        <v>0.465375</v>
      </c>
      <c r="M15" s="29">
        <f>17/16</f>
        <v>1.0625</v>
      </c>
      <c r="N15" s="29"/>
      <c r="O15" s="29">
        <f t="shared" si="2"/>
        <v>0.7639374999999999</v>
      </c>
      <c r="P15" s="36">
        <f t="shared" si="3"/>
        <v>4018653.3584226463</v>
      </c>
      <c r="Q15" s="36">
        <f t="shared" si="4"/>
        <v>4018653.3584226463</v>
      </c>
      <c r="R15" s="21" t="s">
        <v>394</v>
      </c>
      <c r="S15" s="22" t="s">
        <v>257</v>
      </c>
      <c r="U15" s="9" t="s">
        <v>465</v>
      </c>
    </row>
    <row r="16" spans="2:25" ht="12.75">
      <c r="B16" s="18" t="s">
        <v>178</v>
      </c>
      <c r="C16" s="19">
        <v>28619</v>
      </c>
      <c r="D16" s="19">
        <f t="shared" si="0"/>
        <v>28619000</v>
      </c>
      <c r="E16" s="19">
        <v>28620</v>
      </c>
      <c r="F16" s="19">
        <f t="shared" si="1"/>
        <v>28620000</v>
      </c>
      <c r="G16" s="29">
        <v>98.75</v>
      </c>
      <c r="H16" s="29">
        <f>(55+77)/2</f>
        <v>66</v>
      </c>
      <c r="I16" s="29">
        <f>H16/G16</f>
        <v>0.6683544303797468</v>
      </c>
      <c r="J16" s="29">
        <f>0.73*G16</f>
        <v>72.08749999999999</v>
      </c>
      <c r="K16" s="29">
        <f t="shared" si="5"/>
        <v>69.04374999999999</v>
      </c>
      <c r="L16" s="29">
        <f t="shared" si="6"/>
        <v>58.687187499999986</v>
      </c>
      <c r="M16" s="29"/>
      <c r="N16" s="29"/>
      <c r="O16" s="29">
        <f t="shared" si="2"/>
        <v>58.687187499999986</v>
      </c>
      <c r="P16" s="36">
        <f t="shared" si="3"/>
        <v>487653.28888865234</v>
      </c>
      <c r="Q16" s="36">
        <f t="shared" si="4"/>
        <v>487670.32838300534</v>
      </c>
      <c r="R16" s="21" t="s">
        <v>243</v>
      </c>
      <c r="S16" s="22" t="s">
        <v>256</v>
      </c>
      <c r="U16" s="15" t="s">
        <v>466</v>
      </c>
      <c r="V16" s="15"/>
      <c r="W16" s="15"/>
      <c r="X16" s="15"/>
      <c r="Y16" s="16"/>
    </row>
    <row r="17" spans="2:19" ht="12.75">
      <c r="B17" s="18" t="s">
        <v>179</v>
      </c>
      <c r="C17" s="19">
        <v>661314</v>
      </c>
      <c r="D17" s="19">
        <f t="shared" si="0"/>
        <v>661314000</v>
      </c>
      <c r="E17" s="19">
        <v>661314</v>
      </c>
      <c r="F17" s="19">
        <f t="shared" si="1"/>
        <v>661314000</v>
      </c>
      <c r="G17" s="29">
        <f>19+(10/16)</f>
        <v>19.625</v>
      </c>
      <c r="H17" s="29"/>
      <c r="I17" s="29"/>
      <c r="J17" s="29">
        <f>0.73*G17</f>
        <v>14.32625</v>
      </c>
      <c r="K17" s="29">
        <f t="shared" si="5"/>
        <v>14.32625</v>
      </c>
      <c r="L17" s="29">
        <f t="shared" si="6"/>
        <v>12.1773125</v>
      </c>
      <c r="M17" s="29"/>
      <c r="N17" s="29"/>
      <c r="O17" s="29">
        <f t="shared" si="2"/>
        <v>12.1773125</v>
      </c>
      <c r="P17" s="36">
        <f t="shared" si="3"/>
        <v>54307056.66788136</v>
      </c>
      <c r="Q17" s="36">
        <f t="shared" si="4"/>
        <v>54307056.66788136</v>
      </c>
      <c r="R17" s="21" t="s">
        <v>244</v>
      </c>
      <c r="S17" s="22">
        <v>11</v>
      </c>
    </row>
    <row r="18" spans="2:19" ht="12.75">
      <c r="B18" s="18" t="s">
        <v>180</v>
      </c>
      <c r="C18" s="19">
        <v>593</v>
      </c>
      <c r="D18" s="19">
        <f t="shared" si="0"/>
        <v>593000</v>
      </c>
      <c r="E18" s="19">
        <v>593</v>
      </c>
      <c r="F18" s="19">
        <f t="shared" si="1"/>
        <v>593000</v>
      </c>
      <c r="G18" s="29"/>
      <c r="H18" s="29">
        <v>35</v>
      </c>
      <c r="I18" s="29"/>
      <c r="J18" s="29"/>
      <c r="K18" s="29">
        <f t="shared" si="5"/>
        <v>35</v>
      </c>
      <c r="L18" s="29">
        <f t="shared" si="6"/>
        <v>29.75</v>
      </c>
      <c r="M18" s="29">
        <v>10</v>
      </c>
      <c r="N18" s="29">
        <v>1.5</v>
      </c>
      <c r="O18" s="29">
        <f t="shared" si="2"/>
        <v>13.75</v>
      </c>
      <c r="P18" s="36">
        <f t="shared" si="3"/>
        <v>43127.27272727273</v>
      </c>
      <c r="Q18" s="36">
        <f t="shared" si="4"/>
        <v>43127.27272727273</v>
      </c>
      <c r="R18" s="21" t="s">
        <v>245</v>
      </c>
      <c r="S18" s="22">
        <v>18</v>
      </c>
    </row>
    <row r="19" spans="2:19" ht="12.75">
      <c r="B19" s="18" t="s">
        <v>181</v>
      </c>
      <c r="C19" s="19">
        <v>27413</v>
      </c>
      <c r="D19" s="19">
        <f t="shared" si="0"/>
        <v>27413000</v>
      </c>
      <c r="E19" s="19">
        <v>27413</v>
      </c>
      <c r="F19" s="19">
        <f t="shared" si="1"/>
        <v>27413000</v>
      </c>
      <c r="G19" s="29"/>
      <c r="H19" s="29">
        <v>2</v>
      </c>
      <c r="I19" s="29"/>
      <c r="J19" s="29"/>
      <c r="K19" s="29">
        <f t="shared" si="5"/>
        <v>2</v>
      </c>
      <c r="L19" s="29">
        <f t="shared" si="6"/>
        <v>1.7</v>
      </c>
      <c r="M19" s="29">
        <v>0.9</v>
      </c>
      <c r="N19" s="29"/>
      <c r="O19" s="29">
        <f t="shared" si="2"/>
        <v>1.3</v>
      </c>
      <c r="P19" s="36">
        <f t="shared" si="3"/>
        <v>21086923.076923076</v>
      </c>
      <c r="Q19" s="36">
        <f t="shared" si="4"/>
        <v>21086923.076923076</v>
      </c>
      <c r="R19" s="21"/>
      <c r="S19" s="22" t="s">
        <v>246</v>
      </c>
    </row>
    <row r="20" spans="2:19" ht="12.75">
      <c r="B20" s="18" t="s">
        <v>182</v>
      </c>
      <c r="C20" s="19">
        <v>368</v>
      </c>
      <c r="D20" s="19">
        <f t="shared" si="0"/>
        <v>368000</v>
      </c>
      <c r="E20" s="19">
        <v>368</v>
      </c>
      <c r="F20" s="19">
        <f t="shared" si="1"/>
        <v>368000</v>
      </c>
      <c r="G20" s="29"/>
      <c r="H20" s="29">
        <v>2</v>
      </c>
      <c r="I20" s="29"/>
      <c r="J20" s="29"/>
      <c r="K20" s="29">
        <f t="shared" si="5"/>
        <v>2</v>
      </c>
      <c r="L20" s="29">
        <f t="shared" si="6"/>
        <v>1.7</v>
      </c>
      <c r="M20" s="29">
        <v>0.9</v>
      </c>
      <c r="N20" s="29"/>
      <c r="O20" s="29">
        <f t="shared" si="2"/>
        <v>1.3</v>
      </c>
      <c r="P20" s="36">
        <f t="shared" si="3"/>
        <v>283076.92307692306</v>
      </c>
      <c r="Q20" s="36">
        <f t="shared" si="4"/>
        <v>283076.92307692306</v>
      </c>
      <c r="R20" s="21" t="s">
        <v>248</v>
      </c>
      <c r="S20" s="22" t="s">
        <v>247</v>
      </c>
    </row>
    <row r="21" spans="2:19" ht="12.75">
      <c r="B21" s="18" t="s">
        <v>183</v>
      </c>
      <c r="C21" s="19">
        <v>977</v>
      </c>
      <c r="D21" s="19">
        <f t="shared" si="0"/>
        <v>977000</v>
      </c>
      <c r="E21" s="19">
        <v>977</v>
      </c>
      <c r="F21" s="19">
        <f t="shared" si="1"/>
        <v>977000</v>
      </c>
      <c r="G21" s="29">
        <v>27</v>
      </c>
      <c r="H21" s="29">
        <v>20</v>
      </c>
      <c r="I21" s="29">
        <f>H21/G21</f>
        <v>0.7407407407407407</v>
      </c>
      <c r="J21" s="29">
        <f>0.73*G21</f>
        <v>19.71</v>
      </c>
      <c r="K21" s="29">
        <f t="shared" si="5"/>
        <v>19.855</v>
      </c>
      <c r="L21" s="29">
        <f t="shared" si="6"/>
        <v>16.87675</v>
      </c>
      <c r="M21" s="29"/>
      <c r="N21" s="29"/>
      <c r="O21" s="29">
        <f t="shared" si="2"/>
        <v>16.87675</v>
      </c>
      <c r="P21" s="36">
        <f t="shared" si="3"/>
        <v>57890.29285851837</v>
      </c>
      <c r="Q21" s="36">
        <f t="shared" si="4"/>
        <v>57890.29285851837</v>
      </c>
      <c r="R21" s="21"/>
      <c r="S21" s="22" t="s">
        <v>255</v>
      </c>
    </row>
    <row r="22" spans="2:19" ht="12.75">
      <c r="B22" s="18" t="s">
        <v>184</v>
      </c>
      <c r="C22" s="19">
        <v>1970</v>
      </c>
      <c r="D22" s="19">
        <f t="shared" si="0"/>
        <v>1970000</v>
      </c>
      <c r="E22" s="19">
        <v>1970</v>
      </c>
      <c r="F22" s="19">
        <f t="shared" si="1"/>
        <v>1970000</v>
      </c>
      <c r="G22" s="29"/>
      <c r="H22" s="29"/>
      <c r="I22" s="29"/>
      <c r="J22" s="29"/>
      <c r="K22" s="29"/>
      <c r="L22" s="29"/>
      <c r="M22" s="29">
        <v>24</v>
      </c>
      <c r="N22" s="29">
        <v>30</v>
      </c>
      <c r="O22" s="29">
        <f t="shared" si="2"/>
        <v>27</v>
      </c>
      <c r="P22" s="36">
        <f t="shared" si="3"/>
        <v>72962.96296296296</v>
      </c>
      <c r="Q22" s="36">
        <f t="shared" si="4"/>
        <v>72962.96296296296</v>
      </c>
      <c r="R22" s="21" t="s">
        <v>249</v>
      </c>
      <c r="S22" s="22" t="s">
        <v>254</v>
      </c>
    </row>
    <row r="23" spans="2:19" ht="12.75">
      <c r="B23" s="18" t="s">
        <v>185</v>
      </c>
      <c r="C23" s="19">
        <v>1069</v>
      </c>
      <c r="D23" s="19">
        <f t="shared" si="0"/>
        <v>1069000</v>
      </c>
      <c r="E23" s="19">
        <v>1069</v>
      </c>
      <c r="F23" s="19">
        <f t="shared" si="1"/>
        <v>1069000</v>
      </c>
      <c r="G23" s="29"/>
      <c r="H23" s="29"/>
      <c r="I23" s="29"/>
      <c r="J23" s="29"/>
      <c r="K23" s="29"/>
      <c r="L23" s="29"/>
      <c r="M23" s="29">
        <v>2</v>
      </c>
      <c r="N23" s="29"/>
      <c r="O23" s="29">
        <f t="shared" si="2"/>
        <v>2</v>
      </c>
      <c r="P23" s="36">
        <f t="shared" si="3"/>
        <v>534500</v>
      </c>
      <c r="Q23" s="36">
        <f t="shared" si="4"/>
        <v>534500</v>
      </c>
      <c r="R23" s="21" t="s">
        <v>250</v>
      </c>
      <c r="S23" s="22">
        <v>6</v>
      </c>
    </row>
    <row r="24" spans="2:19" ht="12.75">
      <c r="B24" s="18" t="s">
        <v>186</v>
      </c>
      <c r="C24" s="19">
        <v>13934</v>
      </c>
      <c r="D24" s="19">
        <f t="shared" si="0"/>
        <v>13934000</v>
      </c>
      <c r="E24" s="19">
        <v>13934</v>
      </c>
      <c r="F24" s="19">
        <f t="shared" si="1"/>
        <v>13934000</v>
      </c>
      <c r="G24" s="29"/>
      <c r="H24" s="29"/>
      <c r="I24" s="29"/>
      <c r="J24" s="29"/>
      <c r="K24" s="29"/>
      <c r="L24" s="29"/>
      <c r="M24" s="29"/>
      <c r="N24" s="29"/>
      <c r="O24" s="29" t="e">
        <f t="shared" si="2"/>
        <v>#DIV/0!</v>
      </c>
      <c r="P24" s="36"/>
      <c r="Q24" s="36"/>
      <c r="R24" s="21"/>
      <c r="S24" s="22"/>
    </row>
    <row r="25" spans="2:19" ht="12.75">
      <c r="B25" s="18" t="s">
        <v>187</v>
      </c>
      <c r="C25" s="19">
        <v>12710</v>
      </c>
      <c r="D25" s="19">
        <f t="shared" si="0"/>
        <v>12710000</v>
      </c>
      <c r="E25" s="19">
        <v>12710</v>
      </c>
      <c r="F25" s="19">
        <f t="shared" si="1"/>
        <v>12710000</v>
      </c>
      <c r="G25" s="29"/>
      <c r="H25" s="29"/>
      <c r="I25" s="29"/>
      <c r="J25" s="29"/>
      <c r="K25" s="29"/>
      <c r="L25" s="29"/>
      <c r="M25" s="29"/>
      <c r="N25" s="29"/>
      <c r="O25" s="29" t="e">
        <f t="shared" si="2"/>
        <v>#DIV/0!</v>
      </c>
      <c r="P25" s="36"/>
      <c r="Q25" s="36"/>
      <c r="R25" s="21"/>
      <c r="S25" s="22"/>
    </row>
    <row r="26" spans="2:19" ht="12.75">
      <c r="B26" s="18" t="s">
        <v>188</v>
      </c>
      <c r="C26" s="19">
        <v>8680</v>
      </c>
      <c r="D26" s="19">
        <f t="shared" si="0"/>
        <v>8680000</v>
      </c>
      <c r="E26" s="19">
        <v>8681</v>
      </c>
      <c r="F26" s="19">
        <f t="shared" si="1"/>
        <v>8681000</v>
      </c>
      <c r="G26" s="29"/>
      <c r="H26" s="29"/>
      <c r="I26" s="29"/>
      <c r="J26" s="29"/>
      <c r="K26" s="29"/>
      <c r="L26" s="29"/>
      <c r="M26" s="29"/>
      <c r="N26" s="29"/>
      <c r="O26" s="29" t="e">
        <f t="shared" si="2"/>
        <v>#DIV/0!</v>
      </c>
      <c r="P26" s="36"/>
      <c r="Q26" s="36"/>
      <c r="R26" s="21"/>
      <c r="S26" s="22"/>
    </row>
    <row r="27" spans="2:19" ht="12.75">
      <c r="B27" s="18" t="s">
        <v>189</v>
      </c>
      <c r="C27" s="19">
        <v>8784</v>
      </c>
      <c r="D27" s="19">
        <f t="shared" si="0"/>
        <v>8784000</v>
      </c>
      <c r="E27" s="19">
        <v>8784</v>
      </c>
      <c r="F27" s="19">
        <f t="shared" si="1"/>
        <v>8784000</v>
      </c>
      <c r="G27" s="29"/>
      <c r="H27" s="29"/>
      <c r="I27" s="29"/>
      <c r="J27" s="29"/>
      <c r="K27" s="29"/>
      <c r="L27" s="29"/>
      <c r="M27" s="29"/>
      <c r="N27" s="29"/>
      <c r="O27" s="29" t="e">
        <f t="shared" si="2"/>
        <v>#DIV/0!</v>
      </c>
      <c r="P27" s="36"/>
      <c r="Q27" s="36"/>
      <c r="R27" s="21"/>
      <c r="S27" s="22"/>
    </row>
    <row r="28" spans="2:19" ht="12.75">
      <c r="B28" s="18" t="s">
        <v>190</v>
      </c>
      <c r="C28" s="19">
        <v>27210</v>
      </c>
      <c r="D28" s="19">
        <f t="shared" si="0"/>
        <v>27210000</v>
      </c>
      <c r="E28" s="19">
        <v>27210</v>
      </c>
      <c r="F28" s="19">
        <f t="shared" si="1"/>
        <v>27210000</v>
      </c>
      <c r="G28" s="29"/>
      <c r="H28" s="29"/>
      <c r="I28" s="29"/>
      <c r="J28" s="29"/>
      <c r="K28" s="29"/>
      <c r="L28" s="29"/>
      <c r="M28" s="29"/>
      <c r="N28" s="29"/>
      <c r="O28" s="29" t="e">
        <f t="shared" si="2"/>
        <v>#DIV/0!</v>
      </c>
      <c r="P28" s="36"/>
      <c r="Q28" s="36"/>
      <c r="R28" s="21"/>
      <c r="S28" s="22"/>
    </row>
    <row r="29" spans="2:19" ht="12.75">
      <c r="B29" s="18" t="s">
        <v>191</v>
      </c>
      <c r="C29" s="19">
        <v>28367</v>
      </c>
      <c r="D29" s="19">
        <f t="shared" si="0"/>
        <v>28367000</v>
      </c>
      <c r="E29" s="19">
        <v>28367</v>
      </c>
      <c r="F29" s="19">
        <f t="shared" si="1"/>
        <v>28367000</v>
      </c>
      <c r="G29" s="29"/>
      <c r="H29" s="29"/>
      <c r="I29" s="29"/>
      <c r="J29" s="29"/>
      <c r="K29" s="29"/>
      <c r="L29" s="29"/>
      <c r="M29" s="29"/>
      <c r="N29" s="29"/>
      <c r="O29" s="29" t="e">
        <f t="shared" si="2"/>
        <v>#DIV/0!</v>
      </c>
      <c r="P29" s="36"/>
      <c r="Q29" s="36"/>
      <c r="R29" s="21"/>
      <c r="S29" s="22"/>
    </row>
    <row r="30" spans="2:19" ht="12.75">
      <c r="B30" s="18" t="s">
        <v>192</v>
      </c>
      <c r="C30" s="19">
        <v>3913</v>
      </c>
      <c r="D30" s="19">
        <f t="shared" si="0"/>
        <v>3913000</v>
      </c>
      <c r="E30" s="19">
        <v>3913</v>
      </c>
      <c r="F30" s="19">
        <f t="shared" si="1"/>
        <v>3913000</v>
      </c>
      <c r="G30" s="29"/>
      <c r="H30" s="29">
        <v>4.5</v>
      </c>
      <c r="I30" s="29"/>
      <c r="J30" s="29"/>
      <c r="K30" s="29">
        <f t="shared" si="5"/>
        <v>4.5</v>
      </c>
      <c r="L30" s="29">
        <f t="shared" si="6"/>
        <v>3.8249999999999997</v>
      </c>
      <c r="M30" s="29"/>
      <c r="N30" s="29"/>
      <c r="O30" s="29">
        <f t="shared" si="2"/>
        <v>3.8249999999999997</v>
      </c>
      <c r="P30" s="36">
        <f t="shared" si="3"/>
        <v>1023006.5359477125</v>
      </c>
      <c r="Q30" s="36">
        <f t="shared" si="4"/>
        <v>1023006.5359477125</v>
      </c>
      <c r="R30" s="21"/>
      <c r="S30" s="22">
        <v>2</v>
      </c>
    </row>
    <row r="31" spans="2:19" ht="12.75">
      <c r="B31" s="18" t="s">
        <v>193</v>
      </c>
      <c r="C31" s="19">
        <v>4270</v>
      </c>
      <c r="D31" s="19">
        <f t="shared" si="0"/>
        <v>4270000</v>
      </c>
      <c r="E31" s="19">
        <v>4270</v>
      </c>
      <c r="F31" s="19">
        <f t="shared" si="1"/>
        <v>4270000</v>
      </c>
      <c r="G31" s="29">
        <v>7.5</v>
      </c>
      <c r="H31" s="29"/>
      <c r="I31" s="29"/>
      <c r="J31" s="29">
        <f>0.73*G31</f>
        <v>5.475</v>
      </c>
      <c r="K31" s="29">
        <f t="shared" si="5"/>
        <v>5.475</v>
      </c>
      <c r="L31" s="29">
        <f t="shared" si="6"/>
        <v>4.65375</v>
      </c>
      <c r="M31" s="29"/>
      <c r="N31" s="29"/>
      <c r="O31" s="29">
        <f t="shared" si="2"/>
        <v>4.65375</v>
      </c>
      <c r="P31" s="36">
        <f t="shared" si="3"/>
        <v>917539.618587161</v>
      </c>
      <c r="Q31" s="36">
        <f t="shared" si="4"/>
        <v>917539.618587161</v>
      </c>
      <c r="R31" s="21" t="s">
        <v>251</v>
      </c>
      <c r="S31" s="22">
        <v>11</v>
      </c>
    </row>
    <row r="32" spans="2:19" ht="12.75">
      <c r="B32" s="18" t="s">
        <v>194</v>
      </c>
      <c r="C32" s="19">
        <v>72205</v>
      </c>
      <c r="D32" s="19">
        <f t="shared" si="0"/>
        <v>72205000</v>
      </c>
      <c r="E32" s="19">
        <v>72205</v>
      </c>
      <c r="F32" s="19">
        <f t="shared" si="1"/>
        <v>72205000</v>
      </c>
      <c r="G32" s="29">
        <v>4.25</v>
      </c>
      <c r="H32" s="29"/>
      <c r="I32" s="29"/>
      <c r="J32" s="29">
        <f>0.73*G32</f>
        <v>3.1025</v>
      </c>
      <c r="K32" s="29">
        <f t="shared" si="5"/>
        <v>3.1025</v>
      </c>
      <c r="L32" s="29">
        <f t="shared" si="6"/>
        <v>2.637125</v>
      </c>
      <c r="M32" s="29"/>
      <c r="N32" s="29"/>
      <c r="O32" s="29">
        <f t="shared" si="2"/>
        <v>2.637125</v>
      </c>
      <c r="P32" s="36">
        <f t="shared" si="3"/>
        <v>27380196.236431718</v>
      </c>
      <c r="Q32" s="36">
        <f t="shared" si="4"/>
        <v>27380196.236431718</v>
      </c>
      <c r="R32" s="21" t="s">
        <v>251</v>
      </c>
      <c r="S32" s="22">
        <v>11</v>
      </c>
    </row>
    <row r="33" spans="2:19" ht="12.75">
      <c r="B33" s="18" t="s">
        <v>195</v>
      </c>
      <c r="C33" s="19">
        <v>329150</v>
      </c>
      <c r="D33" s="19">
        <f t="shared" si="0"/>
        <v>329150000</v>
      </c>
      <c r="E33" s="19">
        <v>329150</v>
      </c>
      <c r="F33" s="19">
        <f t="shared" si="1"/>
        <v>329150000</v>
      </c>
      <c r="G33" s="29"/>
      <c r="H33" s="29"/>
      <c r="I33" s="29"/>
      <c r="J33" s="29"/>
      <c r="K33" s="29"/>
      <c r="L33" s="29"/>
      <c r="M33" s="29"/>
      <c r="N33" s="29"/>
      <c r="O33" s="29" t="e">
        <f t="shared" si="2"/>
        <v>#DIV/0!</v>
      </c>
      <c r="P33" s="36"/>
      <c r="Q33" s="36"/>
      <c r="R33" s="21"/>
      <c r="S33" s="22"/>
    </row>
    <row r="34" spans="2:19" ht="12.75">
      <c r="B34" s="18" t="s">
        <v>196</v>
      </c>
      <c r="C34" s="19">
        <v>6313</v>
      </c>
      <c r="D34" s="19">
        <f t="shared" si="0"/>
        <v>6313000</v>
      </c>
      <c r="E34" s="19">
        <v>6313</v>
      </c>
      <c r="F34" s="19">
        <f t="shared" si="1"/>
        <v>6313000</v>
      </c>
      <c r="G34" s="29"/>
      <c r="H34" s="29">
        <v>2.2</v>
      </c>
      <c r="I34" s="29"/>
      <c r="J34" s="29"/>
      <c r="K34" s="29">
        <f t="shared" si="5"/>
        <v>2.2</v>
      </c>
      <c r="L34" s="29">
        <f t="shared" si="6"/>
        <v>1.87</v>
      </c>
      <c r="M34" s="29"/>
      <c r="N34" s="29"/>
      <c r="O34" s="29">
        <f t="shared" si="2"/>
        <v>1.87</v>
      </c>
      <c r="P34" s="36">
        <f t="shared" si="3"/>
        <v>3375935.8288770053</v>
      </c>
      <c r="Q34" s="36">
        <f t="shared" si="4"/>
        <v>3375935.8288770053</v>
      </c>
      <c r="R34" s="21"/>
      <c r="S34" s="22">
        <v>2</v>
      </c>
    </row>
    <row r="35" spans="2:19" ht="12.75">
      <c r="B35" s="18" t="s">
        <v>197</v>
      </c>
      <c r="C35" s="19">
        <v>4969</v>
      </c>
      <c r="D35" s="19">
        <f t="shared" si="0"/>
        <v>4969000</v>
      </c>
      <c r="E35" s="19">
        <v>4969</v>
      </c>
      <c r="F35" s="19">
        <f t="shared" si="1"/>
        <v>4969000</v>
      </c>
      <c r="G35" s="29"/>
      <c r="H35" s="29"/>
      <c r="I35" s="29"/>
      <c r="J35" s="29"/>
      <c r="K35" s="29"/>
      <c r="L35" s="29"/>
      <c r="M35" s="29">
        <v>2</v>
      </c>
      <c r="N35" s="29"/>
      <c r="O35" s="29">
        <f t="shared" si="2"/>
        <v>2</v>
      </c>
      <c r="P35" s="36">
        <f t="shared" si="3"/>
        <v>2484500</v>
      </c>
      <c r="Q35" s="36">
        <f t="shared" si="4"/>
        <v>2484500</v>
      </c>
      <c r="R35" s="21" t="s">
        <v>252</v>
      </c>
      <c r="S35" s="22"/>
    </row>
    <row r="36" spans="2:19" ht="12.75">
      <c r="B36" s="18" t="s">
        <v>198</v>
      </c>
      <c r="C36" s="19">
        <v>45848</v>
      </c>
      <c r="D36" s="19">
        <f t="shared" si="0"/>
        <v>45848000</v>
      </c>
      <c r="E36" s="19">
        <v>45849</v>
      </c>
      <c r="F36" s="19">
        <f t="shared" si="1"/>
        <v>45849000</v>
      </c>
      <c r="G36" s="29"/>
      <c r="H36" s="29"/>
      <c r="I36" s="29"/>
      <c r="J36" s="29"/>
      <c r="K36" s="29"/>
      <c r="L36" s="29"/>
      <c r="M36" s="29"/>
      <c r="N36" s="29"/>
      <c r="O36" s="29" t="e">
        <f t="shared" si="2"/>
        <v>#DIV/0!</v>
      </c>
      <c r="P36" s="36"/>
      <c r="Q36" s="36"/>
      <c r="R36" s="21"/>
      <c r="S36" s="22"/>
    </row>
    <row r="37" spans="2:19" ht="12.75">
      <c r="B37" s="18" t="s">
        <v>199</v>
      </c>
      <c r="C37" s="19">
        <v>60640</v>
      </c>
      <c r="D37" s="19">
        <f t="shared" si="0"/>
        <v>60640000</v>
      </c>
      <c r="E37" s="19">
        <v>60640</v>
      </c>
      <c r="F37" s="19">
        <f t="shared" si="1"/>
        <v>60640000</v>
      </c>
      <c r="G37" s="29"/>
      <c r="H37" s="29">
        <v>50</v>
      </c>
      <c r="I37" s="29"/>
      <c r="J37" s="29"/>
      <c r="K37" s="29">
        <f t="shared" si="5"/>
        <v>50</v>
      </c>
      <c r="L37" s="29">
        <f t="shared" si="6"/>
        <v>42.5</v>
      </c>
      <c r="M37" s="29"/>
      <c r="N37" s="29"/>
      <c r="O37" s="29">
        <f t="shared" si="2"/>
        <v>42.5</v>
      </c>
      <c r="P37" s="36">
        <f t="shared" si="3"/>
        <v>1426823.5294117648</v>
      </c>
      <c r="Q37" s="36">
        <f t="shared" si="4"/>
        <v>1426823.5294117648</v>
      </c>
      <c r="R37" s="21"/>
      <c r="S37" s="22">
        <v>6</v>
      </c>
    </row>
    <row r="38" spans="2:19" ht="12.75">
      <c r="B38" s="18" t="s">
        <v>200</v>
      </c>
      <c r="C38" s="19">
        <v>10276</v>
      </c>
      <c r="D38" s="19">
        <f t="shared" si="0"/>
        <v>10276000</v>
      </c>
      <c r="E38" s="19">
        <v>10278</v>
      </c>
      <c r="F38" s="19">
        <f t="shared" si="1"/>
        <v>10278000</v>
      </c>
      <c r="G38" s="29"/>
      <c r="H38" s="29"/>
      <c r="I38" s="29"/>
      <c r="J38" s="29"/>
      <c r="K38" s="29"/>
      <c r="L38" s="29"/>
      <c r="M38" s="29">
        <v>10</v>
      </c>
      <c r="N38" s="29">
        <v>10</v>
      </c>
      <c r="O38" s="29">
        <f t="shared" si="2"/>
        <v>10</v>
      </c>
      <c r="P38" s="36">
        <f t="shared" si="3"/>
        <v>1027600</v>
      </c>
      <c r="Q38" s="36">
        <f t="shared" si="4"/>
        <v>1027800</v>
      </c>
      <c r="R38" s="21" t="s">
        <v>253</v>
      </c>
      <c r="S38" s="22" t="s">
        <v>262</v>
      </c>
    </row>
    <row r="39" spans="2:19" ht="12.75">
      <c r="B39" s="18" t="s">
        <v>201</v>
      </c>
      <c r="C39" s="19">
        <v>3316</v>
      </c>
      <c r="D39" s="19">
        <f t="shared" si="0"/>
        <v>3316000</v>
      </c>
      <c r="E39" s="19">
        <v>3315</v>
      </c>
      <c r="F39" s="19">
        <f t="shared" si="1"/>
        <v>3315000</v>
      </c>
      <c r="G39" s="29"/>
      <c r="H39" s="29"/>
      <c r="I39" s="29"/>
      <c r="J39" s="29"/>
      <c r="K39" s="29"/>
      <c r="L39" s="29"/>
      <c r="M39" s="29">
        <v>3.5</v>
      </c>
      <c r="N39" s="29">
        <v>4</v>
      </c>
      <c r="O39" s="29">
        <f t="shared" si="2"/>
        <v>3.75</v>
      </c>
      <c r="P39" s="36">
        <f t="shared" si="3"/>
        <v>884266.6666666666</v>
      </c>
      <c r="Q39" s="36">
        <f t="shared" si="4"/>
        <v>884000</v>
      </c>
      <c r="R39" s="21" t="s">
        <v>264</v>
      </c>
      <c r="S39" s="22" t="s">
        <v>263</v>
      </c>
    </row>
    <row r="40" spans="2:19" ht="12.75">
      <c r="B40" s="18" t="s">
        <v>202</v>
      </c>
      <c r="C40" s="19">
        <v>499598</v>
      </c>
      <c r="D40" s="19">
        <f t="shared" si="0"/>
        <v>499598000</v>
      </c>
      <c r="E40" s="19">
        <v>499598</v>
      </c>
      <c r="F40" s="19">
        <f t="shared" si="1"/>
        <v>499598000</v>
      </c>
      <c r="G40" s="29"/>
      <c r="H40" s="29">
        <v>3</v>
      </c>
      <c r="I40" s="29"/>
      <c r="J40" s="29"/>
      <c r="K40" s="29">
        <f t="shared" si="5"/>
        <v>3</v>
      </c>
      <c r="L40" s="29">
        <f t="shared" si="6"/>
        <v>2.55</v>
      </c>
      <c r="M40" s="29">
        <v>3</v>
      </c>
      <c r="N40" s="29">
        <v>0.75</v>
      </c>
      <c r="O40" s="29">
        <f t="shared" si="2"/>
        <v>2.1</v>
      </c>
      <c r="P40" s="36">
        <f t="shared" si="3"/>
        <v>237903809.52380952</v>
      </c>
      <c r="Q40" s="36">
        <f t="shared" si="4"/>
        <v>237903809.52380952</v>
      </c>
      <c r="R40" s="21" t="s">
        <v>264</v>
      </c>
      <c r="S40" s="22" t="s">
        <v>265</v>
      </c>
    </row>
    <row r="41" spans="2:19" ht="12.75">
      <c r="B41" s="18" t="s">
        <v>203</v>
      </c>
      <c r="C41" s="19">
        <v>2929</v>
      </c>
      <c r="D41" s="19">
        <f t="shared" si="0"/>
        <v>2929000</v>
      </c>
      <c r="E41" s="19">
        <v>2929</v>
      </c>
      <c r="F41" s="19">
        <f t="shared" si="1"/>
        <v>2929000</v>
      </c>
      <c r="G41" s="29">
        <v>7</v>
      </c>
      <c r="H41" s="29"/>
      <c r="I41" s="29"/>
      <c r="J41" s="29">
        <f>0.73*G41</f>
        <v>5.109999999999999</v>
      </c>
      <c r="K41" s="29">
        <f t="shared" si="5"/>
        <v>5.109999999999999</v>
      </c>
      <c r="L41" s="29">
        <f t="shared" si="6"/>
        <v>4.3435</v>
      </c>
      <c r="M41" s="29"/>
      <c r="N41" s="29"/>
      <c r="O41" s="29">
        <f t="shared" si="2"/>
        <v>4.3435</v>
      </c>
      <c r="P41" s="36">
        <f t="shared" si="3"/>
        <v>674340.9692644181</v>
      </c>
      <c r="Q41" s="36">
        <f t="shared" si="4"/>
        <v>674340.9692644181</v>
      </c>
      <c r="R41" s="21"/>
      <c r="S41" s="22">
        <v>3</v>
      </c>
    </row>
    <row r="42" spans="2:19" ht="12.75">
      <c r="B42" s="18" t="s">
        <v>204</v>
      </c>
      <c r="C42" s="19">
        <v>34248</v>
      </c>
      <c r="D42" s="19">
        <f t="shared" si="0"/>
        <v>34248000</v>
      </c>
      <c r="E42" s="19">
        <v>34248</v>
      </c>
      <c r="F42" s="19">
        <f t="shared" si="1"/>
        <v>34248000</v>
      </c>
      <c r="G42" s="29">
        <v>5</v>
      </c>
      <c r="H42" s="29">
        <v>3</v>
      </c>
      <c r="I42" s="29">
        <f>H42/G42</f>
        <v>0.6</v>
      </c>
      <c r="J42" s="29">
        <f>0.73*G42</f>
        <v>3.65</v>
      </c>
      <c r="K42" s="29">
        <f t="shared" si="5"/>
        <v>3.325</v>
      </c>
      <c r="L42" s="29">
        <f t="shared" si="6"/>
        <v>2.82625</v>
      </c>
      <c r="M42" s="29">
        <v>3</v>
      </c>
      <c r="N42" s="29">
        <v>0.75</v>
      </c>
      <c r="O42" s="29">
        <f t="shared" si="2"/>
        <v>2.192083333333333</v>
      </c>
      <c r="P42" s="36">
        <f t="shared" si="3"/>
        <v>15623493.632389281</v>
      </c>
      <c r="Q42" s="36">
        <f t="shared" si="4"/>
        <v>15623493.632389281</v>
      </c>
      <c r="R42" s="21" t="s">
        <v>264</v>
      </c>
      <c r="S42" s="22" t="s">
        <v>266</v>
      </c>
    </row>
    <row r="43" spans="2:19" ht="12.75">
      <c r="B43" s="18" t="s">
        <v>205</v>
      </c>
      <c r="C43" s="19">
        <v>4897</v>
      </c>
      <c r="D43" s="19">
        <f t="shared" si="0"/>
        <v>4897000</v>
      </c>
      <c r="E43" s="19">
        <v>4897</v>
      </c>
      <c r="F43" s="19">
        <f t="shared" si="1"/>
        <v>4897000</v>
      </c>
      <c r="G43" s="29"/>
      <c r="H43" s="29">
        <v>46</v>
      </c>
      <c r="I43" s="29"/>
      <c r="J43" s="29"/>
      <c r="K43" s="29">
        <f t="shared" si="5"/>
        <v>46</v>
      </c>
      <c r="L43" s="29">
        <f t="shared" si="6"/>
        <v>39.1</v>
      </c>
      <c r="M43" s="29"/>
      <c r="N43" s="29"/>
      <c r="O43" s="29">
        <f t="shared" si="2"/>
        <v>39.1</v>
      </c>
      <c r="P43" s="36">
        <f t="shared" si="3"/>
        <v>125242.96675191815</v>
      </c>
      <c r="Q43" s="36">
        <f t="shared" si="4"/>
        <v>125242.96675191815</v>
      </c>
      <c r="R43" s="21"/>
      <c r="S43" s="22">
        <v>2</v>
      </c>
    </row>
    <row r="44" spans="2:19" ht="12.75">
      <c r="B44" s="18" t="s">
        <v>206</v>
      </c>
      <c r="C44" s="19">
        <v>69864</v>
      </c>
      <c r="D44" s="19">
        <f t="shared" si="0"/>
        <v>69864000</v>
      </c>
      <c r="E44" s="19">
        <v>70232</v>
      </c>
      <c r="F44" s="19">
        <f t="shared" si="1"/>
        <v>70232000</v>
      </c>
      <c r="G44" s="29">
        <v>72</v>
      </c>
      <c r="H44" s="29"/>
      <c r="I44" s="29"/>
      <c r="J44" s="29">
        <f>0.73*G44</f>
        <v>52.56</v>
      </c>
      <c r="K44" s="29">
        <f t="shared" si="5"/>
        <v>52.56</v>
      </c>
      <c r="L44" s="29">
        <f t="shared" si="6"/>
        <v>44.676</v>
      </c>
      <c r="M44" s="29">
        <v>75</v>
      </c>
      <c r="N44" s="29"/>
      <c r="O44" s="29">
        <f t="shared" si="2"/>
        <v>59.838</v>
      </c>
      <c r="P44" s="36">
        <f t="shared" si="3"/>
        <v>1167552.3914569337</v>
      </c>
      <c r="Q44" s="36">
        <f t="shared" si="4"/>
        <v>1173702.3296233162</v>
      </c>
      <c r="R44" s="21" t="s">
        <v>387</v>
      </c>
      <c r="S44" s="22" t="s">
        <v>258</v>
      </c>
    </row>
    <row r="45" spans="2:19" ht="12.75">
      <c r="B45" s="18" t="s">
        <v>207</v>
      </c>
      <c r="C45" s="19">
        <v>211010</v>
      </c>
      <c r="D45" s="19">
        <f t="shared" si="0"/>
        <v>211010000</v>
      </c>
      <c r="E45" s="19">
        <v>215425</v>
      </c>
      <c r="F45" s="19">
        <f t="shared" si="1"/>
        <v>215425000</v>
      </c>
      <c r="G45" s="29"/>
      <c r="H45" s="29"/>
      <c r="I45" s="29"/>
      <c r="J45" s="29"/>
      <c r="K45" s="29"/>
      <c r="L45" s="29"/>
      <c r="M45" s="29">
        <v>0.625</v>
      </c>
      <c r="N45" s="29"/>
      <c r="O45" s="29">
        <f t="shared" si="2"/>
        <v>0.625</v>
      </c>
      <c r="P45" s="36">
        <f t="shared" si="3"/>
        <v>337616000</v>
      </c>
      <c r="Q45" s="36">
        <f t="shared" si="4"/>
        <v>344680000</v>
      </c>
      <c r="R45" s="21" t="s">
        <v>387</v>
      </c>
      <c r="S45" s="22">
        <v>6</v>
      </c>
    </row>
    <row r="46" spans="2:19" ht="12.75">
      <c r="B46" s="18" t="s">
        <v>208</v>
      </c>
      <c r="C46" s="19">
        <v>136861</v>
      </c>
      <c r="D46" s="19">
        <f t="shared" si="0"/>
        <v>136861000</v>
      </c>
      <c r="E46" s="19">
        <v>136861</v>
      </c>
      <c r="F46" s="19">
        <f t="shared" si="1"/>
        <v>136861000</v>
      </c>
      <c r="G46" s="29"/>
      <c r="H46" s="29"/>
      <c r="I46" s="29"/>
      <c r="J46" s="29"/>
      <c r="K46" s="29"/>
      <c r="L46" s="29"/>
      <c r="M46" s="29">
        <v>0.625</v>
      </c>
      <c r="N46" s="29"/>
      <c r="O46" s="29">
        <f t="shared" si="2"/>
        <v>0.625</v>
      </c>
      <c r="P46" s="36">
        <f t="shared" si="3"/>
        <v>218977600</v>
      </c>
      <c r="Q46" s="36">
        <f t="shared" si="4"/>
        <v>218977600</v>
      </c>
      <c r="R46" s="21" t="s">
        <v>387</v>
      </c>
      <c r="S46" s="22">
        <v>6</v>
      </c>
    </row>
    <row r="47" spans="2:19" ht="12.75">
      <c r="B47" s="18" t="s">
        <v>209</v>
      </c>
      <c r="C47" s="19">
        <v>16641</v>
      </c>
      <c r="D47" s="19">
        <f t="shared" si="0"/>
        <v>16641000</v>
      </c>
      <c r="E47" s="19">
        <v>16641</v>
      </c>
      <c r="F47" s="19">
        <f t="shared" si="1"/>
        <v>16641000</v>
      </c>
      <c r="G47" s="29"/>
      <c r="H47" s="29"/>
      <c r="I47" s="29"/>
      <c r="J47" s="29"/>
      <c r="K47" s="29"/>
      <c r="L47" s="29"/>
      <c r="M47" s="29">
        <v>0.625</v>
      </c>
      <c r="N47" s="29"/>
      <c r="O47" s="29">
        <f t="shared" si="2"/>
        <v>0.625</v>
      </c>
      <c r="P47" s="36">
        <f t="shared" si="3"/>
        <v>26625600</v>
      </c>
      <c r="Q47" s="36">
        <f t="shared" si="4"/>
        <v>26625600</v>
      </c>
      <c r="R47" s="21" t="s">
        <v>387</v>
      </c>
      <c r="S47" s="22">
        <v>6</v>
      </c>
    </row>
    <row r="48" spans="2:19" ht="12.75">
      <c r="B48" s="18" t="s">
        <v>210</v>
      </c>
      <c r="C48" s="19">
        <v>2557</v>
      </c>
      <c r="D48" s="19">
        <f t="shared" si="0"/>
        <v>2557000</v>
      </c>
      <c r="E48" s="19">
        <v>2556</v>
      </c>
      <c r="F48" s="19">
        <f t="shared" si="1"/>
        <v>2556000</v>
      </c>
      <c r="G48" s="29">
        <v>5.25</v>
      </c>
      <c r="H48" s="29"/>
      <c r="I48" s="29"/>
      <c r="J48" s="29">
        <f>0.73*G48</f>
        <v>3.8325</v>
      </c>
      <c r="K48" s="29">
        <f t="shared" si="5"/>
        <v>3.8325</v>
      </c>
      <c r="L48" s="29">
        <f t="shared" si="6"/>
        <v>3.257625</v>
      </c>
      <c r="M48" s="29"/>
      <c r="N48" s="29"/>
      <c r="O48" s="29">
        <f t="shared" si="2"/>
        <v>3.257625</v>
      </c>
      <c r="P48" s="36">
        <f t="shared" si="3"/>
        <v>784927.6696980163</v>
      </c>
      <c r="Q48" s="36">
        <f t="shared" si="4"/>
        <v>784620.6975941061</v>
      </c>
      <c r="R48" s="21"/>
      <c r="S48" s="22">
        <v>23</v>
      </c>
    </row>
    <row r="49" spans="2:19" ht="12.75">
      <c r="B49" s="18" t="s">
        <v>211</v>
      </c>
      <c r="C49" s="19">
        <v>4164</v>
      </c>
      <c r="D49" s="19">
        <f t="shared" si="0"/>
        <v>4164000</v>
      </c>
      <c r="E49" s="19">
        <v>4163</v>
      </c>
      <c r="F49" s="19">
        <f t="shared" si="1"/>
        <v>4163000</v>
      </c>
      <c r="G49" s="29">
        <v>105</v>
      </c>
      <c r="H49" s="29">
        <v>100</v>
      </c>
      <c r="I49" s="29">
        <f>H49/G49</f>
        <v>0.9523809523809523</v>
      </c>
      <c r="J49" s="29">
        <f>0.73*G49</f>
        <v>76.64999999999999</v>
      </c>
      <c r="K49" s="29">
        <f t="shared" si="5"/>
        <v>88.32499999999999</v>
      </c>
      <c r="L49" s="29">
        <f t="shared" si="6"/>
        <v>75.07624999999999</v>
      </c>
      <c r="M49" s="29"/>
      <c r="N49" s="29"/>
      <c r="O49" s="29">
        <f t="shared" si="2"/>
        <v>75.07624999999999</v>
      </c>
      <c r="P49" s="36">
        <f t="shared" si="3"/>
        <v>55463.611994472296</v>
      </c>
      <c r="Q49" s="36">
        <f t="shared" si="4"/>
        <v>55450.292202927034</v>
      </c>
      <c r="R49" s="21"/>
      <c r="S49" s="22" t="s">
        <v>267</v>
      </c>
    </row>
    <row r="50" spans="2:19" ht="12.75">
      <c r="B50" s="18" t="s">
        <v>212</v>
      </c>
      <c r="C50" s="19">
        <v>33940</v>
      </c>
      <c r="D50" s="19">
        <f t="shared" si="0"/>
        <v>33940000</v>
      </c>
      <c r="E50" s="19">
        <v>33939</v>
      </c>
      <c r="F50" s="19">
        <f t="shared" si="1"/>
        <v>33939000</v>
      </c>
      <c r="G50" s="29"/>
      <c r="H50" s="29">
        <v>3</v>
      </c>
      <c r="I50" s="29"/>
      <c r="J50" s="29"/>
      <c r="K50" s="29">
        <f t="shared" si="5"/>
        <v>3</v>
      </c>
      <c r="L50" s="29">
        <f t="shared" si="6"/>
        <v>2.55</v>
      </c>
      <c r="M50" s="29">
        <v>1.5</v>
      </c>
      <c r="N50" s="29"/>
      <c r="O50" s="29">
        <f t="shared" si="2"/>
        <v>2.025</v>
      </c>
      <c r="P50" s="36">
        <f t="shared" si="3"/>
        <v>16760493.827160494</v>
      </c>
      <c r="Q50" s="36">
        <f t="shared" si="4"/>
        <v>16760000</v>
      </c>
      <c r="R50" s="21"/>
      <c r="S50" s="22" t="s">
        <v>258</v>
      </c>
    </row>
    <row r="51" spans="2:19" ht="12.75">
      <c r="B51" s="18" t="s">
        <v>213</v>
      </c>
      <c r="C51" s="19">
        <v>40558</v>
      </c>
      <c r="D51" s="19">
        <f t="shared" si="0"/>
        <v>40558000</v>
      </c>
      <c r="E51" s="19">
        <v>40559</v>
      </c>
      <c r="F51" s="19">
        <f t="shared" si="1"/>
        <v>40559000</v>
      </c>
      <c r="G51" s="29"/>
      <c r="H51" s="29"/>
      <c r="I51" s="29"/>
      <c r="J51" s="29"/>
      <c r="K51" s="29"/>
      <c r="L51" s="29"/>
      <c r="M51" s="29"/>
      <c r="N51" s="29"/>
      <c r="O51" s="29" t="e">
        <f t="shared" si="2"/>
        <v>#DIV/0!</v>
      </c>
      <c r="P51" s="36"/>
      <c r="Q51" s="36"/>
      <c r="R51" s="21"/>
      <c r="S51" s="22"/>
    </row>
    <row r="52" spans="2:19" ht="12.75">
      <c r="B52" s="18" t="s">
        <v>214</v>
      </c>
      <c r="C52" s="19">
        <v>5544</v>
      </c>
      <c r="D52" s="19">
        <f t="shared" si="0"/>
        <v>5544000</v>
      </c>
      <c r="E52" s="19">
        <v>5544</v>
      </c>
      <c r="F52" s="19">
        <f t="shared" si="1"/>
        <v>5544000</v>
      </c>
      <c r="G52" s="29">
        <v>90</v>
      </c>
      <c r="H52" s="29"/>
      <c r="I52" s="29"/>
      <c r="J52" s="29">
        <f>0.73*G52</f>
        <v>65.7</v>
      </c>
      <c r="K52" s="29">
        <f t="shared" si="5"/>
        <v>65.7</v>
      </c>
      <c r="L52" s="29">
        <f t="shared" si="6"/>
        <v>55.845</v>
      </c>
      <c r="M52" s="29">
        <v>11.5</v>
      </c>
      <c r="N52" s="29"/>
      <c r="O52" s="29">
        <f t="shared" si="2"/>
        <v>33.6725</v>
      </c>
      <c r="P52" s="36">
        <f t="shared" si="3"/>
        <v>164644.73977281165</v>
      </c>
      <c r="Q52" s="36">
        <f t="shared" si="4"/>
        <v>164644.73977281165</v>
      </c>
      <c r="R52" s="21" t="s">
        <v>268</v>
      </c>
      <c r="S52" s="22" t="s">
        <v>269</v>
      </c>
    </row>
    <row r="53" spans="2:19" ht="12.75">
      <c r="B53" s="18" t="s">
        <v>215</v>
      </c>
      <c r="C53" s="19">
        <v>3738</v>
      </c>
      <c r="D53" s="19">
        <f t="shared" si="0"/>
        <v>3738000</v>
      </c>
      <c r="E53" s="19">
        <v>3738</v>
      </c>
      <c r="F53" s="19">
        <f t="shared" si="1"/>
        <v>3738000</v>
      </c>
      <c r="G53" s="29">
        <f>8+7/8</f>
        <v>8.875</v>
      </c>
      <c r="H53" s="29"/>
      <c r="I53" s="29"/>
      <c r="J53" s="29">
        <f>0.73*G53</f>
        <v>6.47875</v>
      </c>
      <c r="K53" s="29">
        <f t="shared" si="5"/>
        <v>6.47875</v>
      </c>
      <c r="L53" s="29">
        <f t="shared" si="6"/>
        <v>5.506937499999999</v>
      </c>
      <c r="M53" s="29">
        <v>2</v>
      </c>
      <c r="N53" s="29">
        <v>3</v>
      </c>
      <c r="O53" s="29">
        <f t="shared" si="2"/>
        <v>3.5023125</v>
      </c>
      <c r="P53" s="36">
        <f t="shared" si="3"/>
        <v>1067294.8230633333</v>
      </c>
      <c r="Q53" s="36">
        <f t="shared" si="4"/>
        <v>1067294.8230633333</v>
      </c>
      <c r="R53" s="21"/>
      <c r="S53" s="22" t="s">
        <v>270</v>
      </c>
    </row>
    <row r="54" spans="2:19" ht="12.75">
      <c r="B54" s="18" t="s">
        <v>216</v>
      </c>
      <c r="C54" s="19">
        <v>656666</v>
      </c>
      <c r="D54" s="19">
        <f t="shared" si="0"/>
        <v>656666000</v>
      </c>
      <c r="E54" s="19">
        <v>656666</v>
      </c>
      <c r="F54" s="19">
        <f t="shared" si="1"/>
        <v>656666000</v>
      </c>
      <c r="G54" s="29"/>
      <c r="H54" s="29"/>
      <c r="I54" s="29"/>
      <c r="J54" s="29"/>
      <c r="K54" s="29"/>
      <c r="L54" s="29"/>
      <c r="M54" s="29">
        <v>1</v>
      </c>
      <c r="N54" s="29"/>
      <c r="O54" s="29">
        <f t="shared" si="2"/>
        <v>1</v>
      </c>
      <c r="P54" s="36">
        <f t="shared" si="3"/>
        <v>656666000</v>
      </c>
      <c r="Q54" s="36">
        <f t="shared" si="4"/>
        <v>656666000</v>
      </c>
      <c r="R54" s="21"/>
      <c r="S54" s="22">
        <v>19</v>
      </c>
    </row>
    <row r="55" spans="2:19" ht="12.75">
      <c r="B55" s="18" t="s">
        <v>217</v>
      </c>
      <c r="C55" s="19">
        <v>1371136</v>
      </c>
      <c r="D55" s="19">
        <f t="shared" si="0"/>
        <v>1371136000</v>
      </c>
      <c r="E55" s="19">
        <v>1371136</v>
      </c>
      <c r="F55" s="19">
        <f t="shared" si="1"/>
        <v>1371136000</v>
      </c>
      <c r="G55" s="29"/>
      <c r="H55" s="29"/>
      <c r="I55" s="29"/>
      <c r="J55" s="29"/>
      <c r="K55" s="29"/>
      <c r="L55" s="29"/>
      <c r="M55" s="29"/>
      <c r="N55" s="29"/>
      <c r="O55" s="29" t="e">
        <f t="shared" si="2"/>
        <v>#DIV/0!</v>
      </c>
      <c r="P55" s="36"/>
      <c r="Q55" s="36"/>
      <c r="R55" s="21"/>
      <c r="S55" s="22"/>
    </row>
    <row r="56" spans="2:19" ht="12.75">
      <c r="B56" s="18" t="s">
        <v>218</v>
      </c>
      <c r="C56" s="19">
        <v>19637</v>
      </c>
      <c r="D56" s="19">
        <f t="shared" si="0"/>
        <v>19637000</v>
      </c>
      <c r="E56" s="19">
        <v>19637</v>
      </c>
      <c r="F56" s="19">
        <f t="shared" si="1"/>
        <v>19637000</v>
      </c>
      <c r="G56" s="29"/>
      <c r="H56" s="29">
        <v>12</v>
      </c>
      <c r="I56" s="29"/>
      <c r="J56" s="29"/>
      <c r="K56" s="29">
        <f t="shared" si="5"/>
        <v>12</v>
      </c>
      <c r="L56" s="29">
        <f t="shared" si="6"/>
        <v>10.2</v>
      </c>
      <c r="M56" s="29">
        <v>3</v>
      </c>
      <c r="N56" s="29"/>
      <c r="O56" s="29">
        <f t="shared" si="2"/>
        <v>6.6</v>
      </c>
      <c r="P56" s="36">
        <f t="shared" si="3"/>
        <v>2975303.0303030303</v>
      </c>
      <c r="Q56" s="36">
        <f t="shared" si="4"/>
        <v>2975303.0303030303</v>
      </c>
      <c r="R56" s="21" t="s">
        <v>271</v>
      </c>
      <c r="S56" s="22">
        <v>17</v>
      </c>
    </row>
    <row r="57" spans="2:19" ht="12.75">
      <c r="B57" s="18" t="s">
        <v>219</v>
      </c>
      <c r="C57" s="19">
        <v>553</v>
      </c>
      <c r="D57" s="19">
        <f t="shared" si="0"/>
        <v>553000</v>
      </c>
      <c r="E57" s="19">
        <v>553</v>
      </c>
      <c r="F57" s="19">
        <f t="shared" si="1"/>
        <v>553000</v>
      </c>
      <c r="G57" s="29"/>
      <c r="H57" s="29"/>
      <c r="I57" s="29"/>
      <c r="J57" s="29"/>
      <c r="K57" s="29"/>
      <c r="L57" s="29"/>
      <c r="M57" s="29">
        <v>2</v>
      </c>
      <c r="N57" s="29"/>
      <c r="O57" s="29">
        <f t="shared" si="2"/>
        <v>2</v>
      </c>
      <c r="P57" s="36">
        <f t="shared" si="3"/>
        <v>276500</v>
      </c>
      <c r="Q57" s="36">
        <f t="shared" si="4"/>
        <v>276500</v>
      </c>
      <c r="R57" s="21" t="s">
        <v>272</v>
      </c>
      <c r="S57" s="22">
        <v>5</v>
      </c>
    </row>
    <row r="58" spans="2:19" ht="12.75">
      <c r="B58" s="18" t="s">
        <v>220</v>
      </c>
      <c r="C58" s="19">
        <v>43166</v>
      </c>
      <c r="D58" s="19">
        <f t="shared" si="0"/>
        <v>43166000</v>
      </c>
      <c r="E58" s="19">
        <v>43166</v>
      </c>
      <c r="F58" s="19">
        <f t="shared" si="1"/>
        <v>43166000</v>
      </c>
      <c r="G58" s="29"/>
      <c r="H58" s="29"/>
      <c r="I58" s="29"/>
      <c r="J58" s="29"/>
      <c r="K58" s="29"/>
      <c r="L58" s="29"/>
      <c r="M58" s="29"/>
      <c r="N58" s="29"/>
      <c r="O58" s="29" t="e">
        <f t="shared" si="2"/>
        <v>#DIV/0!</v>
      </c>
      <c r="P58" s="36"/>
      <c r="Q58" s="36"/>
      <c r="R58" s="21"/>
      <c r="S58" s="22"/>
    </row>
    <row r="59" spans="2:19" ht="12.75">
      <c r="B59" s="18" t="s">
        <v>221</v>
      </c>
      <c r="C59" s="19">
        <v>9372</v>
      </c>
      <c r="D59" s="19">
        <f t="shared" si="0"/>
        <v>9372000</v>
      </c>
      <c r="E59" s="19">
        <v>9372</v>
      </c>
      <c r="F59" s="19">
        <f t="shared" si="1"/>
        <v>9372000</v>
      </c>
      <c r="G59" s="29">
        <v>46.5</v>
      </c>
      <c r="H59" s="29">
        <v>35</v>
      </c>
      <c r="I59" s="29">
        <f>H59/G59</f>
        <v>0.7526881720430108</v>
      </c>
      <c r="J59" s="29">
        <f>0.73*G59</f>
        <v>33.945</v>
      </c>
      <c r="K59" s="29">
        <f t="shared" si="5"/>
        <v>34.4725</v>
      </c>
      <c r="L59" s="29">
        <f t="shared" si="6"/>
        <v>29.301624999999998</v>
      </c>
      <c r="M59" s="29"/>
      <c r="N59" s="29"/>
      <c r="O59" s="29">
        <f t="shared" si="2"/>
        <v>29.301624999999998</v>
      </c>
      <c r="P59" s="36">
        <f t="shared" si="3"/>
        <v>319845.74234364135</v>
      </c>
      <c r="Q59" s="36">
        <f t="shared" si="4"/>
        <v>319845.74234364135</v>
      </c>
      <c r="R59" s="21"/>
      <c r="S59" s="22" t="s">
        <v>273</v>
      </c>
    </row>
    <row r="60" spans="2:19" ht="12.75">
      <c r="B60" s="18" t="s">
        <v>222</v>
      </c>
      <c r="C60" s="19">
        <v>2512455</v>
      </c>
      <c r="D60" s="19">
        <f t="shared" si="0"/>
        <v>2512455000</v>
      </c>
      <c r="E60" s="19">
        <v>2512455</v>
      </c>
      <c r="F60" s="19">
        <f t="shared" si="1"/>
        <v>2512455000</v>
      </c>
      <c r="G60" s="29"/>
      <c r="H60" s="29">
        <v>11</v>
      </c>
      <c r="I60" s="29"/>
      <c r="J60" s="29"/>
      <c r="K60" s="29">
        <f t="shared" si="5"/>
        <v>11</v>
      </c>
      <c r="L60" s="29">
        <f t="shared" si="6"/>
        <v>9.35</v>
      </c>
      <c r="M60" s="29"/>
      <c r="N60" s="29"/>
      <c r="O60" s="29">
        <f t="shared" si="2"/>
        <v>9.35</v>
      </c>
      <c r="P60" s="36">
        <f t="shared" si="3"/>
        <v>268711764.7058824</v>
      </c>
      <c r="Q60" s="36">
        <f t="shared" si="4"/>
        <v>268711764.7058824</v>
      </c>
      <c r="R60" s="21"/>
      <c r="S60" s="22">
        <v>10</v>
      </c>
    </row>
    <row r="61" spans="2:19" ht="12.75">
      <c r="B61" s="18" t="s">
        <v>223</v>
      </c>
      <c r="C61" s="19">
        <v>1596</v>
      </c>
      <c r="D61" s="19">
        <f t="shared" si="0"/>
        <v>1596000</v>
      </c>
      <c r="E61" s="19">
        <v>1596</v>
      </c>
      <c r="F61" s="19">
        <f t="shared" si="1"/>
        <v>1596000</v>
      </c>
      <c r="G61" s="29">
        <v>24</v>
      </c>
      <c r="H61" s="29"/>
      <c r="I61" s="29"/>
      <c r="J61" s="29">
        <f>0.73*G61</f>
        <v>17.52</v>
      </c>
      <c r="K61" s="29">
        <f t="shared" si="5"/>
        <v>17.52</v>
      </c>
      <c r="L61" s="29">
        <f t="shared" si="6"/>
        <v>14.892</v>
      </c>
      <c r="M61" s="29"/>
      <c r="N61" s="29"/>
      <c r="O61" s="29">
        <f t="shared" si="2"/>
        <v>14.892</v>
      </c>
      <c r="P61" s="36">
        <f t="shared" si="3"/>
        <v>107171.63577759871</v>
      </c>
      <c r="Q61" s="36">
        <f t="shared" si="4"/>
        <v>107171.63577759871</v>
      </c>
      <c r="R61" s="21" t="s">
        <v>251</v>
      </c>
      <c r="S61" s="22">
        <v>11</v>
      </c>
    </row>
    <row r="62" spans="2:19" ht="12.75">
      <c r="B62" s="18" t="s">
        <v>224</v>
      </c>
      <c r="C62" s="19">
        <v>2782</v>
      </c>
      <c r="D62" s="19">
        <f t="shared" si="0"/>
        <v>2782000</v>
      </c>
      <c r="E62" s="19">
        <v>2782</v>
      </c>
      <c r="F62" s="19">
        <f t="shared" si="1"/>
        <v>2782000</v>
      </c>
      <c r="G62" s="29">
        <v>10.5</v>
      </c>
      <c r="H62" s="29"/>
      <c r="I62" s="29"/>
      <c r="J62" s="29">
        <f>0.73*G62</f>
        <v>7.665</v>
      </c>
      <c r="K62" s="29">
        <f t="shared" si="5"/>
        <v>7.665</v>
      </c>
      <c r="L62" s="29">
        <f t="shared" si="6"/>
        <v>6.51525</v>
      </c>
      <c r="M62" s="29"/>
      <c r="N62" s="29"/>
      <c r="O62" s="29">
        <f t="shared" si="2"/>
        <v>6.51525</v>
      </c>
      <c r="P62" s="36">
        <f t="shared" si="3"/>
        <v>426998.19653888955</v>
      </c>
      <c r="Q62" s="36">
        <f t="shared" si="4"/>
        <v>426998.19653888955</v>
      </c>
      <c r="R62" s="21" t="s">
        <v>251</v>
      </c>
      <c r="S62" s="22">
        <v>11</v>
      </c>
    </row>
    <row r="63" spans="2:19" ht="12.75">
      <c r="B63" s="18" t="s">
        <v>225</v>
      </c>
      <c r="C63" s="19">
        <v>4079</v>
      </c>
      <c r="D63" s="19">
        <f t="shared" si="0"/>
        <v>4079000</v>
      </c>
      <c r="E63" s="19">
        <v>4079</v>
      </c>
      <c r="F63" s="19">
        <f t="shared" si="1"/>
        <v>4079000</v>
      </c>
      <c r="G63" s="29"/>
      <c r="H63" s="29"/>
      <c r="I63" s="29"/>
      <c r="J63" s="29"/>
      <c r="K63" s="29"/>
      <c r="L63" s="29"/>
      <c r="M63" s="29">
        <v>10</v>
      </c>
      <c r="N63" s="29"/>
      <c r="O63" s="29">
        <f t="shared" si="2"/>
        <v>10</v>
      </c>
      <c r="P63" s="36">
        <f t="shared" si="3"/>
        <v>407900</v>
      </c>
      <c r="Q63" s="36">
        <f t="shared" si="4"/>
        <v>407900</v>
      </c>
      <c r="R63" s="21" t="s">
        <v>387</v>
      </c>
      <c r="S63" s="22">
        <v>6</v>
      </c>
    </row>
    <row r="64" spans="2:19" ht="12.75">
      <c r="B64" s="18" t="s">
        <v>226</v>
      </c>
      <c r="C64" s="19">
        <v>17088</v>
      </c>
      <c r="D64" s="19">
        <f t="shared" si="0"/>
        <v>17088000</v>
      </c>
      <c r="E64" s="19">
        <v>17088</v>
      </c>
      <c r="F64" s="19">
        <f t="shared" si="1"/>
        <v>17088000</v>
      </c>
      <c r="G64" s="29"/>
      <c r="H64" s="29"/>
      <c r="I64" s="29"/>
      <c r="J64" s="29"/>
      <c r="K64" s="29"/>
      <c r="L64" s="29"/>
      <c r="M64" s="29"/>
      <c r="N64" s="29"/>
      <c r="O64" s="29" t="e">
        <f t="shared" si="2"/>
        <v>#DIV/0!</v>
      </c>
      <c r="P64" s="36"/>
      <c r="Q64" s="36"/>
      <c r="R64" s="21"/>
      <c r="S64" s="22"/>
    </row>
    <row r="65" spans="2:19" ht="12.75">
      <c r="B65" s="18" t="s">
        <v>227</v>
      </c>
      <c r="C65" s="19">
        <v>6051</v>
      </c>
      <c r="D65" s="19">
        <f t="shared" si="0"/>
        <v>6051000</v>
      </c>
      <c r="E65" s="19">
        <v>6051</v>
      </c>
      <c r="F65" s="19">
        <f t="shared" si="1"/>
        <v>6051000</v>
      </c>
      <c r="G65" s="29">
        <f>7+3/8</f>
        <v>7.375</v>
      </c>
      <c r="H65" s="29"/>
      <c r="I65" s="29"/>
      <c r="J65" s="29">
        <f>0.73*G65</f>
        <v>5.38375</v>
      </c>
      <c r="K65" s="29">
        <f t="shared" si="5"/>
        <v>5.38375</v>
      </c>
      <c r="L65" s="29">
        <f t="shared" si="6"/>
        <v>4.5761875</v>
      </c>
      <c r="M65" s="29"/>
      <c r="N65" s="29"/>
      <c r="O65" s="29">
        <f t="shared" si="2"/>
        <v>4.5761875</v>
      </c>
      <c r="P65" s="36">
        <f t="shared" si="3"/>
        <v>1322279.7361340637</v>
      </c>
      <c r="Q65" s="36">
        <f t="shared" si="4"/>
        <v>1322279.7361340637</v>
      </c>
      <c r="R65" s="21" t="s">
        <v>251</v>
      </c>
      <c r="S65" s="22">
        <v>11</v>
      </c>
    </row>
    <row r="66" spans="2:19" ht="12.75">
      <c r="B66" s="18" t="s">
        <v>228</v>
      </c>
      <c r="C66" s="19">
        <v>85392</v>
      </c>
      <c r="D66" s="19">
        <f t="shared" si="0"/>
        <v>85392000</v>
      </c>
      <c r="E66" s="19">
        <v>85392</v>
      </c>
      <c r="F66" s="19">
        <f t="shared" si="1"/>
        <v>85392000</v>
      </c>
      <c r="G66" s="29"/>
      <c r="H66" s="29"/>
      <c r="I66" s="29"/>
      <c r="J66" s="29"/>
      <c r="K66" s="29"/>
      <c r="L66" s="29"/>
      <c r="M66" s="29"/>
      <c r="N66" s="29"/>
      <c r="O66" s="29" t="e">
        <f t="shared" si="2"/>
        <v>#DIV/0!</v>
      </c>
      <c r="P66" s="36"/>
      <c r="Q66" s="36"/>
      <c r="R66" s="21" t="s">
        <v>418</v>
      </c>
      <c r="S66" s="22"/>
    </row>
    <row r="67" spans="2:19" ht="12.75">
      <c r="B67" s="18" t="s">
        <v>229</v>
      </c>
      <c r="C67" s="19">
        <v>52925</v>
      </c>
      <c r="D67" s="19">
        <f t="shared" si="0"/>
        <v>52925000</v>
      </c>
      <c r="E67" s="19">
        <v>52925</v>
      </c>
      <c r="F67" s="19">
        <f t="shared" si="1"/>
        <v>52925000</v>
      </c>
      <c r="G67" s="29">
        <v>126</v>
      </c>
      <c r="H67" s="29">
        <v>100</v>
      </c>
      <c r="I67" s="29">
        <f>H67/G67</f>
        <v>0.7936507936507936</v>
      </c>
      <c r="J67" s="29">
        <f>0.73*G67</f>
        <v>91.98</v>
      </c>
      <c r="K67" s="29">
        <f t="shared" si="5"/>
        <v>95.99000000000001</v>
      </c>
      <c r="L67" s="29">
        <f t="shared" si="6"/>
        <v>81.59150000000001</v>
      </c>
      <c r="M67" s="29">
        <v>25</v>
      </c>
      <c r="N67" s="29"/>
      <c r="O67" s="29">
        <f t="shared" si="2"/>
        <v>53.295750000000005</v>
      </c>
      <c r="P67" s="36">
        <f t="shared" si="3"/>
        <v>993043.5353663283</v>
      </c>
      <c r="Q67" s="36">
        <f t="shared" si="4"/>
        <v>993043.5353663283</v>
      </c>
      <c r="R67" s="21"/>
      <c r="S67" s="22" t="s">
        <v>419</v>
      </c>
    </row>
    <row r="68" spans="2:19" ht="12.75">
      <c r="B68" s="18" t="s">
        <v>230</v>
      </c>
      <c r="C68" s="19">
        <v>21772</v>
      </c>
      <c r="D68" s="19">
        <f t="shared" si="0"/>
        <v>21772000</v>
      </c>
      <c r="E68" s="19">
        <v>21773</v>
      </c>
      <c r="F68" s="19">
        <f t="shared" si="1"/>
        <v>21773000</v>
      </c>
      <c r="G68" s="29">
        <v>126</v>
      </c>
      <c r="H68" s="29">
        <v>50</v>
      </c>
      <c r="I68" s="29">
        <f>H68/G68</f>
        <v>0.3968253968253968</v>
      </c>
      <c r="J68" s="29">
        <f>0.73*G68</f>
        <v>91.98</v>
      </c>
      <c r="K68" s="29">
        <f t="shared" si="5"/>
        <v>70.99000000000001</v>
      </c>
      <c r="L68" s="29">
        <f t="shared" si="6"/>
        <v>60.3415</v>
      </c>
      <c r="M68" s="29"/>
      <c r="N68" s="29"/>
      <c r="O68" s="29">
        <f t="shared" si="2"/>
        <v>60.3415</v>
      </c>
      <c r="P68" s="36">
        <f t="shared" si="3"/>
        <v>360813.0391190143</v>
      </c>
      <c r="Q68" s="36">
        <f t="shared" si="4"/>
        <v>360829.611461432</v>
      </c>
      <c r="R68" s="21"/>
      <c r="S68" s="22" t="s">
        <v>420</v>
      </c>
    </row>
    <row r="69" spans="2:19" ht="12.75">
      <c r="B69" s="18" t="s">
        <v>231</v>
      </c>
      <c r="C69" s="19">
        <v>103163</v>
      </c>
      <c r="D69" s="19">
        <f t="shared" si="0"/>
        <v>103163000</v>
      </c>
      <c r="E69" s="19">
        <v>103164</v>
      </c>
      <c r="F69" s="19">
        <f t="shared" si="1"/>
        <v>103164000</v>
      </c>
      <c r="G69" s="29">
        <v>20</v>
      </c>
      <c r="H69" s="29"/>
      <c r="I69" s="29"/>
      <c r="J69" s="29">
        <f>0.73*G69</f>
        <v>14.6</v>
      </c>
      <c r="K69" s="29">
        <f t="shared" si="5"/>
        <v>14.6</v>
      </c>
      <c r="L69" s="29">
        <f t="shared" si="6"/>
        <v>12.41</v>
      </c>
      <c r="M69" s="29">
        <v>15</v>
      </c>
      <c r="N69" s="29"/>
      <c r="O69" s="29">
        <f t="shared" si="2"/>
        <v>13.705</v>
      </c>
      <c r="P69" s="36">
        <f t="shared" si="3"/>
        <v>7527398.759576797</v>
      </c>
      <c r="Q69" s="36">
        <f t="shared" si="4"/>
        <v>7527471.725647574</v>
      </c>
      <c r="R69" s="21" t="s">
        <v>422</v>
      </c>
      <c r="S69" s="22" t="s">
        <v>421</v>
      </c>
    </row>
    <row r="70" spans="2:19" ht="12.75">
      <c r="B70" s="18" t="s">
        <v>232</v>
      </c>
      <c r="C70" s="19">
        <v>226995</v>
      </c>
      <c r="D70" s="19">
        <f t="shared" si="0"/>
        <v>226995000</v>
      </c>
      <c r="E70" s="19">
        <v>226995</v>
      </c>
      <c r="F70" s="19">
        <f t="shared" si="1"/>
        <v>226995000</v>
      </c>
      <c r="G70" s="29">
        <v>6.4</v>
      </c>
      <c r="H70" s="29"/>
      <c r="I70" s="29"/>
      <c r="J70" s="29">
        <f>0.73*G70</f>
        <v>4.672</v>
      </c>
      <c r="K70" s="29">
        <f t="shared" si="5"/>
        <v>4.672</v>
      </c>
      <c r="L70" s="29">
        <f t="shared" si="6"/>
        <v>3.9711999999999996</v>
      </c>
      <c r="M70" s="29"/>
      <c r="N70" s="29"/>
      <c r="O70" s="29">
        <f t="shared" si="2"/>
        <v>3.9711999999999996</v>
      </c>
      <c r="P70" s="36">
        <f t="shared" si="3"/>
        <v>57160304.19016922</v>
      </c>
      <c r="Q70" s="36">
        <f t="shared" si="4"/>
        <v>57160304.19016922</v>
      </c>
      <c r="R70" s="21" t="s">
        <v>251</v>
      </c>
      <c r="S70" s="22">
        <v>11</v>
      </c>
    </row>
    <row r="71" spans="2:19" ht="12.75">
      <c r="B71" s="18" t="s">
        <v>233</v>
      </c>
      <c r="C71" s="19">
        <v>192460</v>
      </c>
      <c r="D71" s="19">
        <f t="shared" si="0"/>
        <v>192460000</v>
      </c>
      <c r="E71" s="19">
        <v>192460</v>
      </c>
      <c r="F71" s="19">
        <f t="shared" si="1"/>
        <v>192460000</v>
      </c>
      <c r="G71" s="29"/>
      <c r="H71" s="29"/>
      <c r="I71" s="29"/>
      <c r="J71" s="29"/>
      <c r="K71" s="29"/>
      <c r="L71" s="29"/>
      <c r="M71" s="29"/>
      <c r="N71" s="29"/>
      <c r="O71" s="29" t="e">
        <f t="shared" si="2"/>
        <v>#DIV/0!</v>
      </c>
      <c r="P71" s="36"/>
      <c r="Q71" s="36"/>
      <c r="R71" s="21"/>
      <c r="S71" s="22"/>
    </row>
    <row r="72" spans="2:19" ht="12.75">
      <c r="B72" s="18" t="s">
        <v>234</v>
      </c>
      <c r="C72" s="19">
        <v>23268</v>
      </c>
      <c r="D72" s="19">
        <f aca="true" t="shared" si="7" ref="D72:D135">1000*C72</f>
        <v>23268000</v>
      </c>
      <c r="E72" s="19">
        <v>23268</v>
      </c>
      <c r="F72" s="19">
        <f aca="true" t="shared" si="8" ref="F72:F135">1000*E72</f>
        <v>23268000</v>
      </c>
      <c r="G72" s="29">
        <v>20</v>
      </c>
      <c r="H72" s="29">
        <v>18.5</v>
      </c>
      <c r="I72" s="29">
        <f>H72/G72</f>
        <v>0.925</v>
      </c>
      <c r="J72" s="29">
        <f>0.73*G72</f>
        <v>14.6</v>
      </c>
      <c r="K72" s="29">
        <f>AVERAGE(H72,J72)</f>
        <v>16.55</v>
      </c>
      <c r="L72" s="29">
        <f>0.85*K72</f>
        <v>14.0675</v>
      </c>
      <c r="M72" s="29"/>
      <c r="N72" s="29"/>
      <c r="O72" s="29">
        <f aca="true" t="shared" si="9" ref="O72:O135">AVERAGE(L72:N72)</f>
        <v>14.0675</v>
      </c>
      <c r="P72" s="36">
        <f aca="true" t="shared" si="10" ref="P72:P135">D72/O72</f>
        <v>1654025.235471832</v>
      </c>
      <c r="Q72" s="36">
        <f aca="true" t="shared" si="11" ref="Q72:Q135">F72/O72</f>
        <v>1654025.235471832</v>
      </c>
      <c r="R72" s="21" t="s">
        <v>424</v>
      </c>
      <c r="S72" s="22" t="s">
        <v>423</v>
      </c>
    </row>
    <row r="73" spans="2:19" ht="12.75">
      <c r="B73" s="18" t="s">
        <v>235</v>
      </c>
      <c r="C73" s="19">
        <v>94393</v>
      </c>
      <c r="D73" s="19">
        <f t="shared" si="7"/>
        <v>94393000</v>
      </c>
      <c r="E73" s="19">
        <v>94393</v>
      </c>
      <c r="F73" s="19">
        <f t="shared" si="8"/>
        <v>94393000</v>
      </c>
      <c r="G73" s="29"/>
      <c r="H73" s="29"/>
      <c r="I73" s="29"/>
      <c r="J73" s="29"/>
      <c r="K73" s="29"/>
      <c r="L73" s="29"/>
      <c r="M73" s="29">
        <f>(125/28.35)/16</f>
        <v>0.2755731922398589</v>
      </c>
      <c r="N73" s="29">
        <f>1.665/16</f>
        <v>0.1040625</v>
      </c>
      <c r="O73" s="29">
        <f t="shared" si="9"/>
        <v>0.18981784611992944</v>
      </c>
      <c r="P73" s="36">
        <f t="shared" si="10"/>
        <v>497282009.7240027</v>
      </c>
      <c r="Q73" s="36">
        <f t="shared" si="11"/>
        <v>497282009.7240027</v>
      </c>
      <c r="R73" s="21" t="s">
        <v>425</v>
      </c>
      <c r="S73" s="22" t="s">
        <v>426</v>
      </c>
    </row>
    <row r="74" spans="2:19" ht="12.75">
      <c r="B74" s="18" t="s">
        <v>236</v>
      </c>
      <c r="C74" s="19">
        <v>1128</v>
      </c>
      <c r="D74" s="19">
        <f t="shared" si="7"/>
        <v>1128000</v>
      </c>
      <c r="E74" s="19">
        <v>1128</v>
      </c>
      <c r="F74" s="19">
        <f t="shared" si="8"/>
        <v>1128000</v>
      </c>
      <c r="G74" s="29"/>
      <c r="H74" s="29"/>
      <c r="I74" s="29"/>
      <c r="J74" s="29"/>
      <c r="K74" s="29"/>
      <c r="L74" s="29"/>
      <c r="M74" s="29">
        <f>(125/28.35)/16</f>
        <v>0.2755731922398589</v>
      </c>
      <c r="N74" s="29">
        <f>1.665/16</f>
        <v>0.1040625</v>
      </c>
      <c r="O74" s="29">
        <f t="shared" si="9"/>
        <v>0.18981784611992944</v>
      </c>
      <c r="P74" s="36">
        <f t="shared" si="10"/>
        <v>5942539.245163042</v>
      </c>
      <c r="Q74" s="36">
        <f t="shared" si="11"/>
        <v>5942539.245163042</v>
      </c>
      <c r="R74" s="21" t="s">
        <v>427</v>
      </c>
      <c r="S74" s="22" t="s">
        <v>428</v>
      </c>
    </row>
    <row r="75" spans="2:19" ht="12.75">
      <c r="B75" s="18" t="s">
        <v>237</v>
      </c>
      <c r="C75" s="19">
        <v>5718</v>
      </c>
      <c r="D75" s="19">
        <f t="shared" si="7"/>
        <v>5718000</v>
      </c>
      <c r="E75" s="19">
        <v>5717</v>
      </c>
      <c r="F75" s="19">
        <f t="shared" si="8"/>
        <v>5717000</v>
      </c>
      <c r="G75" s="29"/>
      <c r="H75" s="29">
        <v>4</v>
      </c>
      <c r="I75" s="29"/>
      <c r="J75" s="29"/>
      <c r="K75" s="29">
        <f>AVERAGE(H75,J75)</f>
        <v>4</v>
      </c>
      <c r="L75" s="29">
        <f>0.85*K75</f>
        <v>3.4</v>
      </c>
      <c r="M75" s="29">
        <v>2.9</v>
      </c>
      <c r="N75" s="29"/>
      <c r="O75" s="29">
        <f t="shared" si="9"/>
        <v>3.15</v>
      </c>
      <c r="P75" s="36">
        <f t="shared" si="10"/>
        <v>1815238.0952380954</v>
      </c>
      <c r="Q75" s="36">
        <f t="shared" si="11"/>
        <v>1814920.634920635</v>
      </c>
      <c r="R75" s="21" t="s">
        <v>429</v>
      </c>
      <c r="S75" s="22" t="s">
        <v>430</v>
      </c>
    </row>
    <row r="76" spans="2:19" ht="12.75">
      <c r="B76" s="18" t="s">
        <v>238</v>
      </c>
      <c r="C76" s="19">
        <v>3506</v>
      </c>
      <c r="D76" s="19">
        <f t="shared" si="7"/>
        <v>3506000</v>
      </c>
      <c r="E76" s="19">
        <v>3506</v>
      </c>
      <c r="F76" s="19">
        <f t="shared" si="8"/>
        <v>3506000</v>
      </c>
      <c r="G76" s="29"/>
      <c r="H76" s="29">
        <v>8</v>
      </c>
      <c r="I76" s="29"/>
      <c r="J76" s="29"/>
      <c r="K76" s="29">
        <f>AVERAGE(H76,J76)</f>
        <v>8</v>
      </c>
      <c r="L76" s="29">
        <f>0.85*K76</f>
        <v>6.8</v>
      </c>
      <c r="M76" s="29">
        <v>2</v>
      </c>
      <c r="N76" s="29"/>
      <c r="O76" s="29">
        <f t="shared" si="9"/>
        <v>4.4</v>
      </c>
      <c r="P76" s="36">
        <f t="shared" si="10"/>
        <v>796818.1818181818</v>
      </c>
      <c r="Q76" s="36">
        <f t="shared" si="11"/>
        <v>796818.1818181818</v>
      </c>
      <c r="R76" s="21"/>
      <c r="S76" s="22" t="s">
        <v>431</v>
      </c>
    </row>
    <row r="77" spans="2:19" ht="12.75">
      <c r="B77" s="18" t="s">
        <v>239</v>
      </c>
      <c r="C77" s="19">
        <v>62</v>
      </c>
      <c r="D77" s="19">
        <f t="shared" si="7"/>
        <v>62000</v>
      </c>
      <c r="E77" s="19">
        <v>62</v>
      </c>
      <c r="F77" s="19">
        <f t="shared" si="8"/>
        <v>62000</v>
      </c>
      <c r="G77" s="29"/>
      <c r="H77" s="29"/>
      <c r="I77" s="29"/>
      <c r="J77" s="29"/>
      <c r="K77" s="29"/>
      <c r="L77" s="29"/>
      <c r="M77" s="29"/>
      <c r="N77" s="29"/>
      <c r="O77" s="29" t="e">
        <f t="shared" si="9"/>
        <v>#DIV/0!</v>
      </c>
      <c r="P77" s="36"/>
      <c r="Q77" s="36"/>
      <c r="R77" s="21"/>
      <c r="S77" s="22"/>
    </row>
    <row r="78" spans="2:19" ht="12.75">
      <c r="B78" s="18" t="s">
        <v>240</v>
      </c>
      <c r="C78" s="19">
        <v>7314</v>
      </c>
      <c r="D78" s="19">
        <f t="shared" si="7"/>
        <v>7314000</v>
      </c>
      <c r="E78" s="19">
        <v>7314</v>
      </c>
      <c r="F78" s="19">
        <f t="shared" si="8"/>
        <v>7314000</v>
      </c>
      <c r="G78" s="29"/>
      <c r="H78" s="29">
        <v>30</v>
      </c>
      <c r="I78" s="29"/>
      <c r="J78" s="29"/>
      <c r="K78" s="29">
        <f>AVERAGE(H78,J78)</f>
        <v>30</v>
      </c>
      <c r="L78" s="29">
        <f>0.85*K78</f>
        <v>25.5</v>
      </c>
      <c r="M78" s="29">
        <v>3</v>
      </c>
      <c r="N78" s="29"/>
      <c r="O78" s="29">
        <f t="shared" si="9"/>
        <v>14.25</v>
      </c>
      <c r="P78" s="36">
        <f t="shared" si="10"/>
        <v>513263.15789473685</v>
      </c>
      <c r="Q78" s="36">
        <f t="shared" si="11"/>
        <v>513263.15789473685</v>
      </c>
      <c r="R78" s="21" t="s">
        <v>434</v>
      </c>
      <c r="S78" s="22" t="s">
        <v>433</v>
      </c>
    </row>
    <row r="79" spans="2:19" ht="12.75">
      <c r="B79" s="18" t="s">
        <v>241</v>
      </c>
      <c r="C79" s="19">
        <v>943</v>
      </c>
      <c r="D79" s="19">
        <f t="shared" si="7"/>
        <v>943000</v>
      </c>
      <c r="E79" s="19">
        <v>942</v>
      </c>
      <c r="F79" s="19">
        <f t="shared" si="8"/>
        <v>942000</v>
      </c>
      <c r="G79" s="29"/>
      <c r="H79" s="29">
        <v>16</v>
      </c>
      <c r="I79" s="29"/>
      <c r="J79" s="29"/>
      <c r="K79" s="29">
        <f>AVERAGE(H79,J79)</f>
        <v>16</v>
      </c>
      <c r="L79" s="29">
        <f>0.85*K79</f>
        <v>13.6</v>
      </c>
      <c r="M79" s="29">
        <v>3</v>
      </c>
      <c r="N79" s="29"/>
      <c r="O79" s="29">
        <f t="shared" si="9"/>
        <v>8.3</v>
      </c>
      <c r="P79" s="36">
        <f t="shared" si="10"/>
        <v>113614.45783132529</v>
      </c>
      <c r="Q79" s="36">
        <f t="shared" si="11"/>
        <v>113493.97590361445</v>
      </c>
      <c r="R79" s="21"/>
      <c r="S79" s="22" t="s">
        <v>432</v>
      </c>
    </row>
    <row r="80" spans="2:19" ht="12.75">
      <c r="B80" s="18" t="s">
        <v>121</v>
      </c>
      <c r="C80" s="19">
        <v>161</v>
      </c>
      <c r="D80" s="19">
        <f t="shared" si="7"/>
        <v>161000</v>
      </c>
      <c r="E80" s="19">
        <v>162</v>
      </c>
      <c r="F80" s="19">
        <f t="shared" si="8"/>
        <v>162000</v>
      </c>
      <c r="G80" s="29"/>
      <c r="H80" s="29"/>
      <c r="I80" s="29"/>
      <c r="J80" s="29"/>
      <c r="K80" s="29"/>
      <c r="L80" s="29"/>
      <c r="M80" s="29">
        <v>1</v>
      </c>
      <c r="N80" s="29"/>
      <c r="O80" s="29">
        <f t="shared" si="9"/>
        <v>1</v>
      </c>
      <c r="P80" s="36">
        <f t="shared" si="10"/>
        <v>161000</v>
      </c>
      <c r="Q80" s="36">
        <f t="shared" si="11"/>
        <v>162000</v>
      </c>
      <c r="R80" s="21"/>
      <c r="S80" s="22">
        <v>13</v>
      </c>
    </row>
    <row r="81" spans="2:19" ht="12.75">
      <c r="B81" s="18" t="s">
        <v>122</v>
      </c>
      <c r="C81" s="19">
        <v>3058</v>
      </c>
      <c r="D81" s="19">
        <f t="shared" si="7"/>
        <v>3058000</v>
      </c>
      <c r="E81" s="19">
        <v>3058</v>
      </c>
      <c r="F81" s="19">
        <f t="shared" si="8"/>
        <v>3058000</v>
      </c>
      <c r="G81" s="29"/>
      <c r="H81" s="29"/>
      <c r="I81" s="29"/>
      <c r="J81" s="29"/>
      <c r="K81" s="29"/>
      <c r="L81" s="29"/>
      <c r="M81" s="29">
        <v>4</v>
      </c>
      <c r="N81" s="29"/>
      <c r="O81" s="29">
        <f t="shared" si="9"/>
        <v>4</v>
      </c>
      <c r="P81" s="36">
        <f t="shared" si="10"/>
        <v>764500</v>
      </c>
      <c r="Q81" s="36">
        <f t="shared" si="11"/>
        <v>764500</v>
      </c>
      <c r="R81" s="21" t="s">
        <v>435</v>
      </c>
      <c r="S81" s="22">
        <v>6</v>
      </c>
    </row>
    <row r="82" spans="2:19" ht="12.75">
      <c r="B82" s="18" t="s">
        <v>123</v>
      </c>
      <c r="C82" s="19">
        <v>165</v>
      </c>
      <c r="D82" s="19">
        <f t="shared" si="7"/>
        <v>165000</v>
      </c>
      <c r="E82" s="19">
        <v>165</v>
      </c>
      <c r="F82" s="19">
        <f t="shared" si="8"/>
        <v>165000</v>
      </c>
      <c r="G82" s="29"/>
      <c r="H82" s="29"/>
      <c r="I82" s="29"/>
      <c r="J82" s="29"/>
      <c r="K82" s="29"/>
      <c r="L82" s="29"/>
      <c r="M82" s="29">
        <v>4</v>
      </c>
      <c r="N82" s="29"/>
      <c r="O82" s="29">
        <f t="shared" si="9"/>
        <v>4</v>
      </c>
      <c r="P82" s="36">
        <f t="shared" si="10"/>
        <v>41250</v>
      </c>
      <c r="Q82" s="36">
        <f t="shared" si="11"/>
        <v>41250</v>
      </c>
      <c r="R82" s="21" t="s">
        <v>435</v>
      </c>
      <c r="S82" s="22">
        <v>6</v>
      </c>
    </row>
    <row r="83" spans="2:19" ht="12.75">
      <c r="B83" s="18" t="s">
        <v>124</v>
      </c>
      <c r="C83" s="19">
        <v>46345</v>
      </c>
      <c r="D83" s="19">
        <f t="shared" si="7"/>
        <v>46345000</v>
      </c>
      <c r="E83" s="19">
        <v>46345</v>
      </c>
      <c r="F83" s="19">
        <f t="shared" si="8"/>
        <v>46345000</v>
      </c>
      <c r="G83" s="29"/>
      <c r="H83" s="29"/>
      <c r="I83" s="29"/>
      <c r="J83" s="29"/>
      <c r="K83" s="29"/>
      <c r="L83" s="29"/>
      <c r="M83" s="29"/>
      <c r="N83" s="29"/>
      <c r="O83" s="29" t="e">
        <f t="shared" si="9"/>
        <v>#DIV/0!</v>
      </c>
      <c r="P83" s="36"/>
      <c r="Q83" s="36"/>
      <c r="R83" s="21"/>
      <c r="S83" s="22"/>
    </row>
    <row r="84" spans="2:19" ht="12.75">
      <c r="B84" s="18" t="s">
        <v>125</v>
      </c>
      <c r="C84" s="19">
        <v>14934</v>
      </c>
      <c r="D84" s="19">
        <f t="shared" si="7"/>
        <v>14934000</v>
      </c>
      <c r="E84" s="19">
        <v>14934</v>
      </c>
      <c r="F84" s="19">
        <f t="shared" si="8"/>
        <v>14934000</v>
      </c>
      <c r="G84" s="29"/>
      <c r="H84" s="29"/>
      <c r="I84" s="29"/>
      <c r="J84" s="29"/>
      <c r="K84" s="29"/>
      <c r="L84" s="29"/>
      <c r="M84" s="29"/>
      <c r="N84" s="29"/>
      <c r="O84" s="29" t="e">
        <f t="shared" si="9"/>
        <v>#DIV/0!</v>
      </c>
      <c r="P84" s="36"/>
      <c r="Q84" s="36"/>
      <c r="R84" s="21"/>
      <c r="S84" s="22"/>
    </row>
    <row r="85" spans="2:19" ht="12.75">
      <c r="B85" s="18" t="s">
        <v>126</v>
      </c>
      <c r="C85" s="19">
        <v>3843</v>
      </c>
      <c r="D85" s="19">
        <f t="shared" si="7"/>
        <v>3843000</v>
      </c>
      <c r="E85" s="19">
        <v>3843</v>
      </c>
      <c r="F85" s="19">
        <f t="shared" si="8"/>
        <v>3843000</v>
      </c>
      <c r="G85" s="29"/>
      <c r="H85" s="29">
        <v>20</v>
      </c>
      <c r="I85" s="29"/>
      <c r="J85" s="29"/>
      <c r="K85" s="29">
        <f>AVERAGE(H85,J85)</f>
        <v>20</v>
      </c>
      <c r="L85" s="29">
        <f>0.85*K85</f>
        <v>17</v>
      </c>
      <c r="M85" s="29">
        <v>4</v>
      </c>
      <c r="N85" s="29"/>
      <c r="O85" s="29">
        <f t="shared" si="9"/>
        <v>10.5</v>
      </c>
      <c r="P85" s="36">
        <f t="shared" si="10"/>
        <v>366000</v>
      </c>
      <c r="Q85" s="36">
        <f t="shared" si="11"/>
        <v>366000</v>
      </c>
      <c r="R85" s="21" t="s">
        <v>387</v>
      </c>
      <c r="S85" s="22">
        <v>18</v>
      </c>
    </row>
    <row r="86" spans="2:19" ht="12.75">
      <c r="B86" s="18" t="s">
        <v>127</v>
      </c>
      <c r="C86" s="19">
        <v>27845</v>
      </c>
      <c r="D86" s="19">
        <f t="shared" si="7"/>
        <v>27845000</v>
      </c>
      <c r="E86" s="19">
        <v>27845</v>
      </c>
      <c r="F86" s="19">
        <f t="shared" si="8"/>
        <v>27845000</v>
      </c>
      <c r="G86" s="29"/>
      <c r="H86" s="29"/>
      <c r="I86" s="29"/>
      <c r="J86" s="29"/>
      <c r="K86" s="29"/>
      <c r="L86" s="29"/>
      <c r="M86" s="29"/>
      <c r="N86" s="29"/>
      <c r="O86" s="29" t="e">
        <f t="shared" si="9"/>
        <v>#DIV/0!</v>
      </c>
      <c r="P86" s="36"/>
      <c r="Q86" s="36"/>
      <c r="R86" s="21"/>
      <c r="S86" s="22"/>
    </row>
    <row r="87" spans="2:19" ht="12.75">
      <c r="B87" s="18" t="s">
        <v>128</v>
      </c>
      <c r="C87" s="19">
        <v>3076</v>
      </c>
      <c r="D87" s="19">
        <f t="shared" si="7"/>
        <v>3076000</v>
      </c>
      <c r="E87" s="19">
        <v>3076</v>
      </c>
      <c r="F87" s="19">
        <f t="shared" si="8"/>
        <v>3076000</v>
      </c>
      <c r="G87" s="29"/>
      <c r="H87" s="29"/>
      <c r="I87" s="29"/>
      <c r="J87" s="29"/>
      <c r="K87" s="29"/>
      <c r="L87" s="29"/>
      <c r="M87" s="29">
        <v>0.2</v>
      </c>
      <c r="N87" s="29"/>
      <c r="O87" s="29">
        <f t="shared" si="9"/>
        <v>0.2</v>
      </c>
      <c r="P87" s="36">
        <f t="shared" si="10"/>
        <v>15380000</v>
      </c>
      <c r="Q87" s="36">
        <f t="shared" si="11"/>
        <v>15380000</v>
      </c>
      <c r="R87" s="21"/>
      <c r="S87" s="22">
        <v>6</v>
      </c>
    </row>
    <row r="88" spans="2:19" ht="12.75">
      <c r="B88" s="18" t="s">
        <v>129</v>
      </c>
      <c r="C88" s="19">
        <v>5161</v>
      </c>
      <c r="D88" s="19">
        <f t="shared" si="7"/>
        <v>5161000</v>
      </c>
      <c r="E88" s="19">
        <v>5161</v>
      </c>
      <c r="F88" s="19">
        <f t="shared" si="8"/>
        <v>5161000</v>
      </c>
      <c r="G88" s="29"/>
      <c r="H88" s="29">
        <v>20</v>
      </c>
      <c r="I88" s="29"/>
      <c r="J88" s="29"/>
      <c r="K88" s="29">
        <f>AVERAGE(H88,J88)</f>
        <v>20</v>
      </c>
      <c r="L88" s="29">
        <f>0.85*K88</f>
        <v>17</v>
      </c>
      <c r="M88" s="29">
        <v>5.5</v>
      </c>
      <c r="N88" s="29"/>
      <c r="O88" s="29">
        <f t="shared" si="9"/>
        <v>11.25</v>
      </c>
      <c r="P88" s="36">
        <f t="shared" si="10"/>
        <v>458755.55555555556</v>
      </c>
      <c r="Q88" s="36">
        <f t="shared" si="11"/>
        <v>458755.55555555556</v>
      </c>
      <c r="R88" s="21" t="s">
        <v>387</v>
      </c>
      <c r="S88" s="22" t="s">
        <v>247</v>
      </c>
    </row>
    <row r="89" spans="2:19" ht="12.75">
      <c r="B89" s="18" t="s">
        <v>130</v>
      </c>
      <c r="C89" s="19">
        <v>1630</v>
      </c>
      <c r="D89" s="19">
        <f t="shared" si="7"/>
        <v>1630000</v>
      </c>
      <c r="E89" s="19">
        <v>1630</v>
      </c>
      <c r="F89" s="19">
        <f t="shared" si="8"/>
        <v>1630000</v>
      </c>
      <c r="G89" s="29">
        <v>7</v>
      </c>
      <c r="H89" s="29"/>
      <c r="I89" s="29"/>
      <c r="J89" s="29">
        <f>0.73*G89</f>
        <v>5.109999999999999</v>
      </c>
      <c r="K89" s="29">
        <f>AVERAGE(H89,J89)</f>
        <v>5.109999999999999</v>
      </c>
      <c r="L89" s="29">
        <f>0.85*K89</f>
        <v>4.3435</v>
      </c>
      <c r="M89" s="29">
        <v>1</v>
      </c>
      <c r="N89" s="29"/>
      <c r="O89" s="29">
        <f t="shared" si="9"/>
        <v>2.67175</v>
      </c>
      <c r="P89" s="36">
        <f t="shared" si="10"/>
        <v>610087.0216150463</v>
      </c>
      <c r="Q89" s="36">
        <f t="shared" si="11"/>
        <v>610087.0216150463</v>
      </c>
      <c r="R89" s="21" t="s">
        <v>436</v>
      </c>
      <c r="S89" s="22" t="s">
        <v>437</v>
      </c>
    </row>
    <row r="90" spans="2:19" ht="12.75">
      <c r="B90" s="18" t="s">
        <v>131</v>
      </c>
      <c r="C90" s="19">
        <v>3840</v>
      </c>
      <c r="D90" s="19">
        <f t="shared" si="7"/>
        <v>3840000</v>
      </c>
      <c r="E90" s="19">
        <v>3894</v>
      </c>
      <c r="F90" s="19">
        <f t="shared" si="8"/>
        <v>3894000</v>
      </c>
      <c r="G90" s="29">
        <v>10</v>
      </c>
      <c r="H90" s="29"/>
      <c r="I90" s="29"/>
      <c r="J90" s="29">
        <f>0.73*G90</f>
        <v>7.3</v>
      </c>
      <c r="K90" s="29">
        <f>AVERAGE(H90,J90)</f>
        <v>7.3</v>
      </c>
      <c r="L90" s="29">
        <f>0.85*K90</f>
        <v>6.205</v>
      </c>
      <c r="M90" s="29"/>
      <c r="N90" s="29"/>
      <c r="O90" s="29">
        <f t="shared" si="9"/>
        <v>6.205</v>
      </c>
      <c r="P90" s="36">
        <f t="shared" si="10"/>
        <v>618855.7614826752</v>
      </c>
      <c r="Q90" s="36">
        <f t="shared" si="11"/>
        <v>627558.4206285254</v>
      </c>
      <c r="R90" s="21" t="s">
        <v>438</v>
      </c>
      <c r="S90" s="22">
        <v>8</v>
      </c>
    </row>
    <row r="91" spans="2:19" ht="12.75">
      <c r="B91" s="18" t="s">
        <v>132</v>
      </c>
      <c r="C91" s="19">
        <v>220</v>
      </c>
      <c r="D91" s="19">
        <f t="shared" si="7"/>
        <v>220000</v>
      </c>
      <c r="E91" s="19">
        <v>220</v>
      </c>
      <c r="F91" s="19">
        <f t="shared" si="8"/>
        <v>220000</v>
      </c>
      <c r="G91" s="29"/>
      <c r="H91" s="29"/>
      <c r="I91" s="29"/>
      <c r="J91" s="29"/>
      <c r="K91" s="29"/>
      <c r="L91" s="29"/>
      <c r="M91" s="29"/>
      <c r="N91" s="29"/>
      <c r="O91" s="29" t="e">
        <f t="shared" si="9"/>
        <v>#DIV/0!</v>
      </c>
      <c r="P91" s="36"/>
      <c r="Q91" s="36"/>
      <c r="R91" s="21"/>
      <c r="S91" s="22"/>
    </row>
    <row r="92" spans="2:19" ht="12.75">
      <c r="B92" s="18" t="s">
        <v>133</v>
      </c>
      <c r="C92" s="19">
        <v>6775</v>
      </c>
      <c r="D92" s="19">
        <f t="shared" si="7"/>
        <v>6775000</v>
      </c>
      <c r="E92" s="19">
        <v>6775</v>
      </c>
      <c r="F92" s="19">
        <f t="shared" si="8"/>
        <v>6775000</v>
      </c>
      <c r="G92" s="29"/>
      <c r="H92" s="29">
        <v>1.5</v>
      </c>
      <c r="I92" s="29"/>
      <c r="J92" s="29"/>
      <c r="K92" s="29">
        <f>AVERAGE(H92,J92)</f>
        <v>1.5</v>
      </c>
      <c r="L92" s="29">
        <f>0.85*K92</f>
        <v>1.275</v>
      </c>
      <c r="M92" s="29">
        <v>0.5</v>
      </c>
      <c r="N92" s="29"/>
      <c r="O92" s="29">
        <f t="shared" si="9"/>
        <v>0.8875</v>
      </c>
      <c r="P92" s="36">
        <f t="shared" si="10"/>
        <v>7633802.816901409</v>
      </c>
      <c r="Q92" s="36">
        <f t="shared" si="11"/>
        <v>7633802.816901409</v>
      </c>
      <c r="R92" s="21" t="s">
        <v>387</v>
      </c>
      <c r="S92" s="22">
        <v>5</v>
      </c>
    </row>
    <row r="93" spans="2:19" ht="12.75">
      <c r="B93" s="18" t="s">
        <v>134</v>
      </c>
      <c r="C93" s="19">
        <v>6176</v>
      </c>
      <c r="D93" s="19">
        <f t="shared" si="7"/>
        <v>6176000</v>
      </c>
      <c r="E93" s="19">
        <v>6176</v>
      </c>
      <c r="F93" s="19">
        <f t="shared" si="8"/>
        <v>6176000</v>
      </c>
      <c r="G93" s="29">
        <v>125</v>
      </c>
      <c r="H93" s="29">
        <v>75</v>
      </c>
      <c r="I93" s="29">
        <f>H93/G93</f>
        <v>0.6</v>
      </c>
      <c r="J93" s="29">
        <f>0.73*G93</f>
        <v>91.25</v>
      </c>
      <c r="K93" s="29">
        <f>AVERAGE(H93,J93)</f>
        <v>83.125</v>
      </c>
      <c r="L93" s="29">
        <f>0.85*K93</f>
        <v>70.65625</v>
      </c>
      <c r="M93" s="29">
        <v>16</v>
      </c>
      <c r="N93" s="29"/>
      <c r="O93" s="29">
        <f t="shared" si="9"/>
        <v>43.328125</v>
      </c>
      <c r="P93" s="36">
        <f t="shared" si="10"/>
        <v>142540.20915975477</v>
      </c>
      <c r="Q93" s="36">
        <f t="shared" si="11"/>
        <v>142540.20915975477</v>
      </c>
      <c r="R93" s="21" t="s">
        <v>387</v>
      </c>
      <c r="S93" s="22" t="s">
        <v>439</v>
      </c>
    </row>
    <row r="94" spans="2:19" ht="12.75">
      <c r="B94" s="18" t="s">
        <v>135</v>
      </c>
      <c r="C94" s="19">
        <v>13586</v>
      </c>
      <c r="D94" s="19">
        <f t="shared" si="7"/>
        <v>13586000</v>
      </c>
      <c r="E94" s="19">
        <v>13586</v>
      </c>
      <c r="F94" s="19">
        <f t="shared" si="8"/>
        <v>13586000</v>
      </c>
      <c r="G94" s="29"/>
      <c r="H94" s="29"/>
      <c r="I94" s="29"/>
      <c r="J94" s="29"/>
      <c r="K94" s="29"/>
      <c r="L94" s="29"/>
      <c r="M94" s="29">
        <v>1100</v>
      </c>
      <c r="N94" s="29">
        <v>1100</v>
      </c>
      <c r="O94" s="29">
        <f t="shared" si="9"/>
        <v>1100</v>
      </c>
      <c r="P94" s="36">
        <f t="shared" si="10"/>
        <v>12350.90909090909</v>
      </c>
      <c r="Q94" s="36">
        <f t="shared" si="11"/>
        <v>12350.90909090909</v>
      </c>
      <c r="R94" s="21" t="s">
        <v>440</v>
      </c>
      <c r="S94" s="22" t="s">
        <v>430</v>
      </c>
    </row>
    <row r="95" spans="2:19" ht="12.75">
      <c r="B95" s="18" t="s">
        <v>136</v>
      </c>
      <c r="C95" s="19">
        <v>1602</v>
      </c>
      <c r="D95" s="19">
        <f t="shared" si="7"/>
        <v>1602000</v>
      </c>
      <c r="E95" s="19">
        <v>1602</v>
      </c>
      <c r="F95" s="19">
        <f t="shared" si="8"/>
        <v>1602000</v>
      </c>
      <c r="G95" s="29">
        <v>4.5</v>
      </c>
      <c r="H95" s="29"/>
      <c r="I95" s="29"/>
      <c r="J95" s="29">
        <f>0.73*G95</f>
        <v>3.285</v>
      </c>
      <c r="K95" s="29">
        <f>AVERAGE(H95,J95)</f>
        <v>3.285</v>
      </c>
      <c r="L95" s="29">
        <f>0.85*K95</f>
        <v>2.79225</v>
      </c>
      <c r="M95" s="29">
        <v>2.5</v>
      </c>
      <c r="N95" s="29">
        <v>2.5</v>
      </c>
      <c r="O95" s="29">
        <f t="shared" si="9"/>
        <v>2.5974166666666667</v>
      </c>
      <c r="P95" s="36">
        <f t="shared" si="10"/>
        <v>616766.6591805961</v>
      </c>
      <c r="Q95" s="36">
        <f t="shared" si="11"/>
        <v>616766.6591805961</v>
      </c>
      <c r="R95" s="21" t="s">
        <v>441</v>
      </c>
      <c r="S95" s="22" t="s">
        <v>442</v>
      </c>
    </row>
    <row r="96" spans="2:19" ht="12.75">
      <c r="B96" s="18" t="s">
        <v>443</v>
      </c>
      <c r="C96" s="19">
        <v>4230</v>
      </c>
      <c r="D96" s="19">
        <f t="shared" si="7"/>
        <v>4230000</v>
      </c>
      <c r="E96" s="19">
        <v>4230</v>
      </c>
      <c r="F96" s="19">
        <f t="shared" si="8"/>
        <v>4230000</v>
      </c>
      <c r="G96" s="29"/>
      <c r="H96" s="29"/>
      <c r="I96" s="29"/>
      <c r="J96" s="29"/>
      <c r="K96" s="29"/>
      <c r="L96" s="29"/>
      <c r="M96" s="29">
        <v>10</v>
      </c>
      <c r="N96" s="29"/>
      <c r="O96" s="29">
        <f t="shared" si="9"/>
        <v>10</v>
      </c>
      <c r="P96" s="36">
        <f t="shared" si="10"/>
        <v>423000</v>
      </c>
      <c r="Q96" s="36">
        <f t="shared" si="11"/>
        <v>423000</v>
      </c>
      <c r="R96" s="21"/>
      <c r="S96" s="22">
        <v>6</v>
      </c>
    </row>
    <row r="97" spans="2:19" ht="12.75">
      <c r="B97" s="18" t="s">
        <v>137</v>
      </c>
      <c r="C97" s="19">
        <v>303</v>
      </c>
      <c r="D97" s="19">
        <f t="shared" si="7"/>
        <v>303000</v>
      </c>
      <c r="E97" s="19">
        <v>303</v>
      </c>
      <c r="F97" s="19">
        <f t="shared" si="8"/>
        <v>303000</v>
      </c>
      <c r="G97" s="29">
        <v>42.125</v>
      </c>
      <c r="H97" s="29"/>
      <c r="I97" s="29"/>
      <c r="J97" s="29">
        <f>0.73*G97</f>
        <v>30.75125</v>
      </c>
      <c r="K97" s="29">
        <f>AVERAGE(H97,J97)</f>
        <v>30.75125</v>
      </c>
      <c r="L97" s="29">
        <f>0.85*K97</f>
        <v>26.1385625</v>
      </c>
      <c r="M97" s="29">
        <v>25</v>
      </c>
      <c r="N97" s="29"/>
      <c r="O97" s="29">
        <f t="shared" si="9"/>
        <v>25.56928125</v>
      </c>
      <c r="P97" s="36">
        <f t="shared" si="10"/>
        <v>11850.15710991094</v>
      </c>
      <c r="Q97" s="36">
        <f t="shared" si="11"/>
        <v>11850.15710991094</v>
      </c>
      <c r="R97" s="25" t="s">
        <v>387</v>
      </c>
      <c r="S97" s="20" t="s">
        <v>258</v>
      </c>
    </row>
    <row r="98" spans="2:19" ht="12.75">
      <c r="B98" s="18" t="s">
        <v>138</v>
      </c>
      <c r="C98" s="19">
        <v>28824</v>
      </c>
      <c r="D98" s="19">
        <f t="shared" si="7"/>
        <v>28824000</v>
      </c>
      <c r="E98" s="19">
        <v>41683</v>
      </c>
      <c r="F98" s="19">
        <f t="shared" si="8"/>
        <v>41683000</v>
      </c>
      <c r="G98" s="29">
        <v>96</v>
      </c>
      <c r="H98" s="29">
        <v>60</v>
      </c>
      <c r="I98" s="29">
        <f>H98/G98</f>
        <v>0.625</v>
      </c>
      <c r="J98" s="29">
        <f>0.73*G98</f>
        <v>70.08</v>
      </c>
      <c r="K98" s="29">
        <f>AVERAGE(H98,J98)</f>
        <v>65.03999999999999</v>
      </c>
      <c r="L98" s="29">
        <f>0.85*K98</f>
        <v>55.28399999999999</v>
      </c>
      <c r="M98" s="29">
        <v>35</v>
      </c>
      <c r="N98" s="29"/>
      <c r="O98" s="29">
        <f t="shared" si="9"/>
        <v>45.141999999999996</v>
      </c>
      <c r="P98" s="36">
        <f t="shared" si="10"/>
        <v>638518.4528820168</v>
      </c>
      <c r="Q98" s="36">
        <f t="shared" si="11"/>
        <v>923375.1273758364</v>
      </c>
      <c r="R98" s="25" t="s">
        <v>387</v>
      </c>
      <c r="S98" s="20" t="s">
        <v>444</v>
      </c>
    </row>
    <row r="99" spans="2:19" ht="12.75">
      <c r="B99" s="18" t="s">
        <v>274</v>
      </c>
      <c r="C99" s="19">
        <v>6985</v>
      </c>
      <c r="D99" s="19">
        <f t="shared" si="7"/>
        <v>6985000</v>
      </c>
      <c r="E99" s="19">
        <v>14680</v>
      </c>
      <c r="F99" s="19">
        <f t="shared" si="8"/>
        <v>14680000</v>
      </c>
      <c r="G99" s="29">
        <v>435</v>
      </c>
      <c r="H99" s="29"/>
      <c r="I99" s="29"/>
      <c r="J99" s="29">
        <f>0.73*G99</f>
        <v>317.55</v>
      </c>
      <c r="K99" s="29">
        <f>AVERAGE(H99,J99)</f>
        <v>317.55</v>
      </c>
      <c r="L99" s="29">
        <f>0.85*K99</f>
        <v>269.9175</v>
      </c>
      <c r="M99" s="29"/>
      <c r="N99" s="29"/>
      <c r="O99" s="29">
        <f t="shared" si="9"/>
        <v>269.9175</v>
      </c>
      <c r="P99" s="36">
        <f t="shared" si="10"/>
        <v>25878.27762186594</v>
      </c>
      <c r="Q99" s="36">
        <f t="shared" si="11"/>
        <v>54386.988616892195</v>
      </c>
      <c r="R99" s="25"/>
      <c r="S99" s="20">
        <v>3</v>
      </c>
    </row>
    <row r="100" spans="2:19" ht="12.75">
      <c r="B100" s="18" t="s">
        <v>275</v>
      </c>
      <c r="C100" s="19">
        <v>7265</v>
      </c>
      <c r="D100" s="19">
        <f t="shared" si="7"/>
        <v>7265000</v>
      </c>
      <c r="E100" s="19">
        <v>7265</v>
      </c>
      <c r="F100" s="19">
        <f t="shared" si="8"/>
        <v>7265000</v>
      </c>
      <c r="G100" s="29">
        <v>1496</v>
      </c>
      <c r="H100" s="29"/>
      <c r="I100" s="29"/>
      <c r="J100" s="29">
        <f>0.73*G100</f>
        <v>1092.08</v>
      </c>
      <c r="K100" s="29">
        <f>AVERAGE(H100,J100)</f>
        <v>1092.08</v>
      </c>
      <c r="L100" s="29">
        <f>0.85*K100</f>
        <v>928.2679999999999</v>
      </c>
      <c r="M100" s="29"/>
      <c r="N100" s="29"/>
      <c r="O100" s="29">
        <f t="shared" si="9"/>
        <v>928.2679999999999</v>
      </c>
      <c r="P100" s="36">
        <f t="shared" si="10"/>
        <v>7826.403581724244</v>
      </c>
      <c r="Q100" s="36">
        <f t="shared" si="11"/>
        <v>7826.403581724244</v>
      </c>
      <c r="R100" s="25"/>
      <c r="S100" s="20"/>
    </row>
    <row r="101" spans="2:19" ht="12.75">
      <c r="B101" s="18" t="s">
        <v>276</v>
      </c>
      <c r="C101" s="19">
        <v>994</v>
      </c>
      <c r="D101" s="19">
        <f t="shared" si="7"/>
        <v>994000</v>
      </c>
      <c r="E101" s="19">
        <v>994</v>
      </c>
      <c r="F101" s="19">
        <f t="shared" si="8"/>
        <v>994000</v>
      </c>
      <c r="G101" s="29"/>
      <c r="H101" s="29">
        <v>30</v>
      </c>
      <c r="I101" s="29"/>
      <c r="J101" s="29"/>
      <c r="K101" s="29">
        <f>AVERAGE(H101,J101)</f>
        <v>30</v>
      </c>
      <c r="L101" s="29">
        <f>0.85*K101</f>
        <v>25.5</v>
      </c>
      <c r="M101" s="29">
        <v>8</v>
      </c>
      <c r="N101" s="29"/>
      <c r="O101" s="29">
        <f t="shared" si="9"/>
        <v>16.75</v>
      </c>
      <c r="P101" s="36">
        <f t="shared" si="10"/>
        <v>59343.28358208955</v>
      </c>
      <c r="Q101" s="36">
        <f t="shared" si="11"/>
        <v>59343.28358208955</v>
      </c>
      <c r="R101" s="25" t="s">
        <v>387</v>
      </c>
      <c r="S101" s="20">
        <v>16</v>
      </c>
    </row>
    <row r="102" spans="2:19" ht="12.75">
      <c r="B102" s="18" t="s">
        <v>277</v>
      </c>
      <c r="C102" s="19">
        <v>15874</v>
      </c>
      <c r="D102" s="19">
        <f t="shared" si="7"/>
        <v>15874000</v>
      </c>
      <c r="E102" s="19">
        <v>247256</v>
      </c>
      <c r="F102" s="19">
        <f t="shared" si="8"/>
        <v>247256000</v>
      </c>
      <c r="G102" s="29"/>
      <c r="H102" s="29"/>
      <c r="I102" s="29"/>
      <c r="J102" s="29"/>
      <c r="K102" s="29"/>
      <c r="L102" s="29"/>
      <c r="M102" s="29">
        <v>22.5</v>
      </c>
      <c r="N102" s="29"/>
      <c r="O102" s="29">
        <f t="shared" si="9"/>
        <v>22.5</v>
      </c>
      <c r="P102" s="36">
        <f t="shared" si="10"/>
        <v>705511.1111111111</v>
      </c>
      <c r="Q102" s="36">
        <f t="shared" si="11"/>
        <v>10989155.555555556</v>
      </c>
      <c r="R102" s="25" t="s">
        <v>387</v>
      </c>
      <c r="S102" s="20">
        <v>6</v>
      </c>
    </row>
    <row r="103" spans="2:19" ht="12.75">
      <c r="B103" s="18" t="s">
        <v>278</v>
      </c>
      <c r="C103" s="19">
        <v>22524</v>
      </c>
      <c r="D103" s="19">
        <f t="shared" si="7"/>
        <v>22524000</v>
      </c>
      <c r="E103" s="19">
        <v>141591</v>
      </c>
      <c r="F103" s="19">
        <f t="shared" si="8"/>
        <v>141591000</v>
      </c>
      <c r="G103" s="29">
        <v>450</v>
      </c>
      <c r="H103" s="29"/>
      <c r="I103" s="29"/>
      <c r="J103" s="29">
        <f>0.73*G103</f>
        <v>328.5</v>
      </c>
      <c r="K103" s="29">
        <f>AVERAGE(H103,J103)</f>
        <v>328.5</v>
      </c>
      <c r="L103" s="29">
        <f>0.85*K103</f>
        <v>279.22499999999997</v>
      </c>
      <c r="M103" s="29"/>
      <c r="N103" s="29"/>
      <c r="O103" s="29">
        <f t="shared" si="9"/>
        <v>279.22499999999997</v>
      </c>
      <c r="P103" s="36">
        <f t="shared" si="10"/>
        <v>80666.12946548483</v>
      </c>
      <c r="Q103" s="36">
        <f t="shared" si="11"/>
        <v>507085.683588504</v>
      </c>
      <c r="R103" s="25"/>
      <c r="S103" s="20"/>
    </row>
    <row r="104" spans="2:19" ht="12.75">
      <c r="B104" s="18" t="s">
        <v>279</v>
      </c>
      <c r="C104" s="19">
        <v>389</v>
      </c>
      <c r="D104" s="19">
        <f t="shared" si="7"/>
        <v>389000</v>
      </c>
      <c r="E104" s="19">
        <v>3173</v>
      </c>
      <c r="F104" s="19">
        <f t="shared" si="8"/>
        <v>3173000</v>
      </c>
      <c r="G104" s="29"/>
      <c r="H104" s="29"/>
      <c r="I104" s="29"/>
      <c r="J104" s="29"/>
      <c r="K104" s="29"/>
      <c r="L104" s="29"/>
      <c r="M104" s="29"/>
      <c r="N104" s="29"/>
      <c r="O104" s="29" t="e">
        <f t="shared" si="9"/>
        <v>#DIV/0!</v>
      </c>
      <c r="P104" s="36"/>
      <c r="Q104" s="36"/>
      <c r="R104" s="25"/>
      <c r="S104" s="20"/>
    </row>
    <row r="105" spans="2:19" ht="12.75">
      <c r="B105" s="18" t="s">
        <v>280</v>
      </c>
      <c r="C105" s="19">
        <v>12880</v>
      </c>
      <c r="D105" s="19">
        <f t="shared" si="7"/>
        <v>12880000</v>
      </c>
      <c r="E105" s="19">
        <v>12880</v>
      </c>
      <c r="F105" s="19">
        <f t="shared" si="8"/>
        <v>12880000</v>
      </c>
      <c r="G105" s="29">
        <v>42</v>
      </c>
      <c r="H105" s="29"/>
      <c r="I105" s="29"/>
      <c r="J105" s="29">
        <f>0.73*G105</f>
        <v>30.66</v>
      </c>
      <c r="K105" s="29">
        <f>AVERAGE(H105,J105)</f>
        <v>30.66</v>
      </c>
      <c r="L105" s="29">
        <f>0.85*K105</f>
        <v>26.061</v>
      </c>
      <c r="M105" s="29"/>
      <c r="N105" s="29"/>
      <c r="O105" s="29">
        <f t="shared" si="9"/>
        <v>26.061</v>
      </c>
      <c r="P105" s="36">
        <f t="shared" si="10"/>
        <v>494225.08729519206</v>
      </c>
      <c r="Q105" s="36">
        <f t="shared" si="11"/>
        <v>494225.08729519206</v>
      </c>
      <c r="R105" s="25"/>
      <c r="S105" s="20">
        <v>3</v>
      </c>
    </row>
    <row r="106" spans="2:19" ht="12.75">
      <c r="B106" s="18" t="s">
        <v>281</v>
      </c>
      <c r="C106" s="19">
        <v>682</v>
      </c>
      <c r="D106" s="19">
        <f t="shared" si="7"/>
        <v>682000</v>
      </c>
      <c r="E106" s="19">
        <v>682</v>
      </c>
      <c r="F106" s="19">
        <f t="shared" si="8"/>
        <v>682000</v>
      </c>
      <c r="G106" s="29"/>
      <c r="H106" s="29">
        <v>40</v>
      </c>
      <c r="I106" s="29"/>
      <c r="J106" s="29"/>
      <c r="K106" s="29">
        <f>AVERAGE(H106,J106)</f>
        <v>40</v>
      </c>
      <c r="L106" s="29">
        <f>0.85*K106</f>
        <v>34</v>
      </c>
      <c r="M106" s="29">
        <v>9</v>
      </c>
      <c r="N106" s="29"/>
      <c r="O106" s="29">
        <f t="shared" si="9"/>
        <v>21.5</v>
      </c>
      <c r="P106" s="36">
        <f t="shared" si="10"/>
        <v>31720.93023255814</v>
      </c>
      <c r="Q106" s="36">
        <f t="shared" si="11"/>
        <v>31720.93023255814</v>
      </c>
      <c r="R106" s="25"/>
      <c r="S106" s="20" t="s">
        <v>445</v>
      </c>
    </row>
    <row r="107" spans="2:19" ht="12.75">
      <c r="B107" s="18" t="s">
        <v>282</v>
      </c>
      <c r="C107" s="19">
        <v>1371</v>
      </c>
      <c r="D107" s="19">
        <f t="shared" si="7"/>
        <v>1371000</v>
      </c>
      <c r="E107" s="19">
        <v>1371</v>
      </c>
      <c r="F107" s="19">
        <f t="shared" si="8"/>
        <v>1371000</v>
      </c>
      <c r="G107" s="29"/>
      <c r="H107" s="29"/>
      <c r="I107" s="29"/>
      <c r="J107" s="29"/>
      <c r="K107" s="29"/>
      <c r="L107" s="29"/>
      <c r="M107" s="29">
        <v>1</v>
      </c>
      <c r="N107" s="29">
        <v>1.5</v>
      </c>
      <c r="O107" s="29">
        <f t="shared" si="9"/>
        <v>1.25</v>
      </c>
      <c r="P107" s="36">
        <f t="shared" si="10"/>
        <v>1096800</v>
      </c>
      <c r="Q107" s="36">
        <f t="shared" si="11"/>
        <v>1096800</v>
      </c>
      <c r="R107" s="25"/>
      <c r="S107" s="20" t="s">
        <v>446</v>
      </c>
    </row>
    <row r="108" spans="2:19" ht="12.75">
      <c r="B108" s="18" t="s">
        <v>283</v>
      </c>
      <c r="C108" s="19">
        <v>66854</v>
      </c>
      <c r="D108" s="19">
        <f t="shared" si="7"/>
        <v>66854000</v>
      </c>
      <c r="E108" s="19">
        <v>66855</v>
      </c>
      <c r="F108" s="19">
        <f t="shared" si="8"/>
        <v>66855000</v>
      </c>
      <c r="G108" s="29"/>
      <c r="H108" s="29"/>
      <c r="I108" s="29"/>
      <c r="J108" s="29"/>
      <c r="K108" s="29"/>
      <c r="L108" s="29"/>
      <c r="M108" s="29"/>
      <c r="N108" s="29"/>
      <c r="O108" s="29" t="e">
        <f t="shared" si="9"/>
        <v>#DIV/0!</v>
      </c>
      <c r="P108" s="36"/>
      <c r="Q108" s="36"/>
      <c r="R108" s="25"/>
      <c r="S108" s="20"/>
    </row>
    <row r="109" spans="2:19" ht="12.75">
      <c r="B109" s="18" t="s">
        <v>284</v>
      </c>
      <c r="C109" s="19">
        <v>15045</v>
      </c>
      <c r="D109" s="19">
        <f t="shared" si="7"/>
        <v>15045000</v>
      </c>
      <c r="E109" s="19">
        <v>15045</v>
      </c>
      <c r="F109" s="19">
        <f t="shared" si="8"/>
        <v>15045000</v>
      </c>
      <c r="G109" s="29"/>
      <c r="H109" s="29"/>
      <c r="I109" s="29"/>
      <c r="J109" s="29"/>
      <c r="K109" s="29"/>
      <c r="L109" s="29"/>
      <c r="M109" s="29"/>
      <c r="N109" s="29"/>
      <c r="O109" s="29" t="e">
        <f t="shared" si="9"/>
        <v>#DIV/0!</v>
      </c>
      <c r="P109" s="36"/>
      <c r="Q109" s="36"/>
      <c r="R109" s="25"/>
      <c r="S109" s="20"/>
    </row>
    <row r="110" spans="1:19" ht="13.5">
      <c r="A110" s="17" t="s">
        <v>286</v>
      </c>
      <c r="B110" s="18" t="s">
        <v>287</v>
      </c>
      <c r="C110" s="19">
        <v>45</v>
      </c>
      <c r="D110" s="19">
        <f t="shared" si="7"/>
        <v>45000</v>
      </c>
      <c r="E110" s="19">
        <v>45</v>
      </c>
      <c r="F110" s="19">
        <f t="shared" si="8"/>
        <v>45000</v>
      </c>
      <c r="G110" s="29"/>
      <c r="H110" s="29"/>
      <c r="I110" s="29"/>
      <c r="J110" s="29"/>
      <c r="K110" s="29"/>
      <c r="L110" s="29"/>
      <c r="M110" s="29">
        <v>6</v>
      </c>
      <c r="N110" s="29"/>
      <c r="O110" s="29">
        <f t="shared" si="9"/>
        <v>6</v>
      </c>
      <c r="P110" s="36">
        <f t="shared" si="10"/>
        <v>7500</v>
      </c>
      <c r="Q110" s="36">
        <f t="shared" si="11"/>
        <v>7500</v>
      </c>
      <c r="R110" s="25" t="s">
        <v>387</v>
      </c>
      <c r="S110" s="20">
        <v>6</v>
      </c>
    </row>
    <row r="111" spans="2:19" ht="12.75">
      <c r="B111" s="18" t="s">
        <v>288</v>
      </c>
      <c r="C111" s="19">
        <v>7708</v>
      </c>
      <c r="D111" s="19">
        <f t="shared" si="7"/>
        <v>7708000</v>
      </c>
      <c r="E111" s="19">
        <v>7708</v>
      </c>
      <c r="F111" s="19">
        <f t="shared" si="8"/>
        <v>7708000</v>
      </c>
      <c r="G111" s="29"/>
      <c r="H111" s="29"/>
      <c r="I111" s="29"/>
      <c r="J111" s="29"/>
      <c r="K111" s="29"/>
      <c r="L111" s="29"/>
      <c r="M111" s="29">
        <f>4.65/16</f>
        <v>0.290625</v>
      </c>
      <c r="N111" s="29"/>
      <c r="O111" s="29">
        <f t="shared" si="9"/>
        <v>0.290625</v>
      </c>
      <c r="P111" s="36">
        <f t="shared" si="10"/>
        <v>26522150.537634406</v>
      </c>
      <c r="Q111" s="36">
        <f t="shared" si="11"/>
        <v>26522150.537634406</v>
      </c>
      <c r="R111" s="25" t="s">
        <v>453</v>
      </c>
      <c r="S111" s="20">
        <v>16</v>
      </c>
    </row>
    <row r="112" spans="2:19" ht="12.75">
      <c r="B112" s="18" t="s">
        <v>289</v>
      </c>
      <c r="C112" s="19">
        <v>1081</v>
      </c>
      <c r="D112" s="19">
        <f t="shared" si="7"/>
        <v>1081000</v>
      </c>
      <c r="E112" s="19">
        <v>1081</v>
      </c>
      <c r="F112" s="19">
        <f t="shared" si="8"/>
        <v>1081000</v>
      </c>
      <c r="G112" s="29"/>
      <c r="H112" s="29">
        <v>5</v>
      </c>
      <c r="I112" s="29"/>
      <c r="J112" s="29"/>
      <c r="K112" s="29">
        <f>AVERAGE(H112,J112)</f>
        <v>5</v>
      </c>
      <c r="L112" s="29">
        <f>0.85*K112</f>
        <v>4.25</v>
      </c>
      <c r="M112" s="29"/>
      <c r="N112" s="29"/>
      <c r="O112" s="29">
        <f t="shared" si="9"/>
        <v>4.25</v>
      </c>
      <c r="P112" s="36">
        <f t="shared" si="10"/>
        <v>254352.9411764706</v>
      </c>
      <c r="Q112" s="36">
        <f t="shared" si="11"/>
        <v>254352.9411764706</v>
      </c>
      <c r="R112" s="25"/>
      <c r="S112" s="20">
        <v>16</v>
      </c>
    </row>
    <row r="113" spans="2:19" ht="12.75">
      <c r="B113" s="18" t="s">
        <v>290</v>
      </c>
      <c r="C113" s="19">
        <v>201</v>
      </c>
      <c r="D113" s="19">
        <f t="shared" si="7"/>
        <v>201000</v>
      </c>
      <c r="E113" s="19">
        <v>201</v>
      </c>
      <c r="F113" s="19">
        <f t="shared" si="8"/>
        <v>201000</v>
      </c>
      <c r="G113" s="29"/>
      <c r="H113" s="29"/>
      <c r="I113" s="29"/>
      <c r="J113" s="29"/>
      <c r="K113" s="29"/>
      <c r="L113" s="29"/>
      <c r="M113" s="29"/>
      <c r="N113" s="29"/>
      <c r="O113" s="29" t="e">
        <f t="shared" si="9"/>
        <v>#DIV/0!</v>
      </c>
      <c r="P113" s="36"/>
      <c r="Q113" s="36"/>
      <c r="R113" s="25"/>
      <c r="S113" s="20"/>
    </row>
    <row r="114" spans="2:19" ht="12.75">
      <c r="B114" s="18" t="s">
        <v>291</v>
      </c>
      <c r="C114" s="19">
        <v>43940</v>
      </c>
      <c r="D114" s="19">
        <f t="shared" si="7"/>
        <v>43940000</v>
      </c>
      <c r="E114" s="19">
        <v>43939</v>
      </c>
      <c r="F114" s="19">
        <f t="shared" si="8"/>
        <v>43939000</v>
      </c>
      <c r="G114" s="29"/>
      <c r="H114" s="29"/>
      <c r="I114" s="29"/>
      <c r="J114" s="29"/>
      <c r="K114" s="29"/>
      <c r="L114" s="29"/>
      <c r="M114" s="29">
        <f>6.5/16</f>
        <v>0.40625</v>
      </c>
      <c r="N114" s="29"/>
      <c r="O114" s="29">
        <f t="shared" si="9"/>
        <v>0.40625</v>
      </c>
      <c r="P114" s="36">
        <f t="shared" si="10"/>
        <v>108160000</v>
      </c>
      <c r="Q114" s="36">
        <f t="shared" si="11"/>
        <v>108157538.46153846</v>
      </c>
      <c r="R114" s="25" t="s">
        <v>387</v>
      </c>
      <c r="S114" s="20">
        <v>16</v>
      </c>
    </row>
    <row r="115" spans="2:19" ht="12.75">
      <c r="B115" s="18" t="s">
        <v>292</v>
      </c>
      <c r="C115" s="19">
        <v>2299</v>
      </c>
      <c r="D115" s="19">
        <f t="shared" si="7"/>
        <v>2299000</v>
      </c>
      <c r="E115" s="19">
        <v>2299</v>
      </c>
      <c r="F115" s="19">
        <f t="shared" si="8"/>
        <v>2299000</v>
      </c>
      <c r="G115" s="29"/>
      <c r="H115" s="29"/>
      <c r="I115" s="29"/>
      <c r="J115" s="29"/>
      <c r="K115" s="29"/>
      <c r="L115" s="29"/>
      <c r="M115" s="29"/>
      <c r="N115" s="29"/>
      <c r="O115" s="29" t="e">
        <f t="shared" si="9"/>
        <v>#DIV/0!</v>
      </c>
      <c r="P115" s="36"/>
      <c r="Q115" s="36"/>
      <c r="R115" s="25"/>
      <c r="S115" s="20"/>
    </row>
    <row r="116" spans="2:19" ht="12.75">
      <c r="B116" s="18" t="s">
        <v>293</v>
      </c>
      <c r="C116" s="19">
        <v>57977</v>
      </c>
      <c r="D116" s="19">
        <f t="shared" si="7"/>
        <v>57977000</v>
      </c>
      <c r="E116" s="19">
        <v>57978</v>
      </c>
      <c r="F116" s="19">
        <f t="shared" si="8"/>
        <v>57978000</v>
      </c>
      <c r="G116" s="29"/>
      <c r="H116" s="29"/>
      <c r="I116" s="29"/>
      <c r="J116" s="29"/>
      <c r="K116" s="29"/>
      <c r="L116" s="29"/>
      <c r="M116" s="29"/>
      <c r="N116" s="29"/>
      <c r="O116" s="29" t="e">
        <f t="shared" si="9"/>
        <v>#DIV/0!</v>
      </c>
      <c r="P116" s="36"/>
      <c r="Q116" s="36"/>
      <c r="R116" s="25"/>
      <c r="S116" s="20"/>
    </row>
    <row r="117" spans="2:19" ht="12.75">
      <c r="B117" s="18" t="s">
        <v>294</v>
      </c>
      <c r="C117" s="19">
        <v>978</v>
      </c>
      <c r="D117" s="19">
        <f t="shared" si="7"/>
        <v>978000</v>
      </c>
      <c r="E117" s="19">
        <v>978</v>
      </c>
      <c r="F117" s="19">
        <f t="shared" si="8"/>
        <v>978000</v>
      </c>
      <c r="G117" s="29"/>
      <c r="H117" s="29"/>
      <c r="I117" s="29"/>
      <c r="J117" s="29"/>
      <c r="K117" s="29"/>
      <c r="L117" s="29"/>
      <c r="M117" s="29"/>
      <c r="N117" s="29"/>
      <c r="O117" s="29" t="e">
        <f t="shared" si="9"/>
        <v>#DIV/0!</v>
      </c>
      <c r="P117" s="36"/>
      <c r="Q117" s="36"/>
      <c r="R117" s="25"/>
      <c r="S117" s="20"/>
    </row>
    <row r="118" spans="2:19" ht="12.75">
      <c r="B118" s="18" t="s">
        <v>295</v>
      </c>
      <c r="C118" s="19">
        <v>2258</v>
      </c>
      <c r="D118" s="19">
        <f t="shared" si="7"/>
        <v>2258000</v>
      </c>
      <c r="E118" s="19">
        <v>2259</v>
      </c>
      <c r="F118" s="19">
        <f t="shared" si="8"/>
        <v>2259000</v>
      </c>
      <c r="G118" s="29"/>
      <c r="H118" s="29"/>
      <c r="I118" s="29"/>
      <c r="J118" s="29"/>
      <c r="K118" s="29"/>
      <c r="L118" s="29"/>
      <c r="M118" s="29"/>
      <c r="N118" s="29"/>
      <c r="O118" s="29" t="e">
        <f t="shared" si="9"/>
        <v>#DIV/0!</v>
      </c>
      <c r="P118" s="36"/>
      <c r="Q118" s="36"/>
      <c r="R118" s="25"/>
      <c r="S118" s="20"/>
    </row>
    <row r="119" spans="2:19" ht="12.75">
      <c r="B119" s="18" t="s">
        <v>296</v>
      </c>
      <c r="C119" s="19">
        <v>230830</v>
      </c>
      <c r="D119" s="19">
        <f t="shared" si="7"/>
        <v>230830000</v>
      </c>
      <c r="E119" s="19">
        <v>230830</v>
      </c>
      <c r="F119" s="19">
        <f t="shared" si="8"/>
        <v>230830000</v>
      </c>
      <c r="G119" s="29"/>
      <c r="H119" s="29"/>
      <c r="I119" s="29"/>
      <c r="J119" s="29"/>
      <c r="K119" s="29"/>
      <c r="L119" s="29"/>
      <c r="M119" s="29">
        <f>13.3/16</f>
        <v>0.83125</v>
      </c>
      <c r="N119" s="29">
        <f>8.5/16</f>
        <v>0.53125</v>
      </c>
      <c r="O119" s="29">
        <f t="shared" si="9"/>
        <v>0.68125</v>
      </c>
      <c r="P119" s="36">
        <f t="shared" si="10"/>
        <v>338833027.52293575</v>
      </c>
      <c r="Q119" s="36">
        <f t="shared" si="11"/>
        <v>338833027.52293575</v>
      </c>
      <c r="R119" s="25" t="s">
        <v>447</v>
      </c>
      <c r="S119" s="20">
        <v>16</v>
      </c>
    </row>
    <row r="120" spans="2:19" ht="12.75">
      <c r="B120" s="18" t="s">
        <v>297</v>
      </c>
      <c r="C120" s="19">
        <v>4021</v>
      </c>
      <c r="D120" s="19">
        <f t="shared" si="7"/>
        <v>4021000</v>
      </c>
      <c r="E120" s="19">
        <v>4022</v>
      </c>
      <c r="F120" s="19">
        <f t="shared" si="8"/>
        <v>4022000</v>
      </c>
      <c r="G120" s="29"/>
      <c r="H120" s="29"/>
      <c r="I120" s="29"/>
      <c r="J120" s="29"/>
      <c r="K120" s="29"/>
      <c r="L120" s="29"/>
      <c r="M120" s="29"/>
      <c r="N120" s="29"/>
      <c r="O120" s="29" t="e">
        <f t="shared" si="9"/>
        <v>#DIV/0!</v>
      </c>
      <c r="P120" s="36"/>
      <c r="Q120" s="36"/>
      <c r="R120" s="25"/>
      <c r="S120" s="20"/>
    </row>
    <row r="121" spans="2:19" ht="12.75">
      <c r="B121" s="18" t="s">
        <v>298</v>
      </c>
      <c r="C121" s="19">
        <v>38202</v>
      </c>
      <c r="D121" s="19">
        <f t="shared" si="7"/>
        <v>38202000</v>
      </c>
      <c r="E121" s="19">
        <v>38201</v>
      </c>
      <c r="F121" s="19">
        <f t="shared" si="8"/>
        <v>38201000</v>
      </c>
      <c r="G121" s="29"/>
      <c r="H121" s="29">
        <v>3.5</v>
      </c>
      <c r="I121" s="29"/>
      <c r="J121" s="29"/>
      <c r="K121" s="29">
        <f>AVERAGE(H121,J121)</f>
        <v>3.5</v>
      </c>
      <c r="L121" s="29">
        <f>0.85*K121</f>
        <v>2.975</v>
      </c>
      <c r="M121" s="29">
        <v>1.5</v>
      </c>
      <c r="N121" s="29"/>
      <c r="O121" s="29">
        <f t="shared" si="9"/>
        <v>2.2375</v>
      </c>
      <c r="P121" s="36">
        <f t="shared" si="10"/>
        <v>17073519.553072628</v>
      </c>
      <c r="Q121" s="36">
        <f t="shared" si="11"/>
        <v>17073072.625698324</v>
      </c>
      <c r="R121" s="25"/>
      <c r="S121" s="20">
        <v>16</v>
      </c>
    </row>
    <row r="122" spans="2:19" ht="12.75">
      <c r="B122" s="18" t="s">
        <v>299</v>
      </c>
      <c r="C122" s="19">
        <v>1643</v>
      </c>
      <c r="D122" s="19">
        <f t="shared" si="7"/>
        <v>1643000</v>
      </c>
      <c r="E122" s="19">
        <v>1643</v>
      </c>
      <c r="F122" s="19">
        <f t="shared" si="8"/>
        <v>1643000</v>
      </c>
      <c r="G122" s="29"/>
      <c r="H122" s="29">
        <v>1.5</v>
      </c>
      <c r="I122" s="29"/>
      <c r="J122" s="29"/>
      <c r="K122" s="29">
        <f>AVERAGE(H122,J122)</f>
        <v>1.5</v>
      </c>
      <c r="L122" s="29">
        <f>0.85*K122</f>
        <v>1.275</v>
      </c>
      <c r="M122" s="29"/>
      <c r="N122" s="29"/>
      <c r="O122" s="29">
        <f t="shared" si="9"/>
        <v>1.275</v>
      </c>
      <c r="P122" s="36">
        <f t="shared" si="10"/>
        <v>1288627.4509803923</v>
      </c>
      <c r="Q122" s="36">
        <f t="shared" si="11"/>
        <v>1288627.4509803923</v>
      </c>
      <c r="R122" s="25"/>
      <c r="S122" s="20">
        <v>16</v>
      </c>
    </row>
    <row r="123" spans="2:19" ht="12.75">
      <c r="B123" s="18" t="s">
        <v>300</v>
      </c>
      <c r="C123" s="19">
        <v>18028</v>
      </c>
      <c r="D123" s="19">
        <f t="shared" si="7"/>
        <v>18028000</v>
      </c>
      <c r="E123" s="19">
        <v>18027</v>
      </c>
      <c r="F123" s="19">
        <f t="shared" si="8"/>
        <v>18027000</v>
      </c>
      <c r="G123" s="29"/>
      <c r="H123" s="29">
        <v>25</v>
      </c>
      <c r="I123" s="29"/>
      <c r="J123" s="29"/>
      <c r="K123" s="29">
        <f>AVERAGE(H123,J123)</f>
        <v>25</v>
      </c>
      <c r="L123" s="29">
        <f>0.85*K123</f>
        <v>21.25</v>
      </c>
      <c r="M123" s="29">
        <v>7.5</v>
      </c>
      <c r="N123" s="29"/>
      <c r="O123" s="29">
        <f t="shared" si="9"/>
        <v>14.375</v>
      </c>
      <c r="P123" s="36">
        <f t="shared" si="10"/>
        <v>1254121.7391304348</v>
      </c>
      <c r="Q123" s="36">
        <f t="shared" si="11"/>
        <v>1254052.1739130435</v>
      </c>
      <c r="R123" s="25"/>
      <c r="S123" s="20" t="s">
        <v>448</v>
      </c>
    </row>
    <row r="124" spans="2:19" ht="12.75">
      <c r="B124" s="18" t="s">
        <v>302</v>
      </c>
      <c r="C124" s="19">
        <v>117090</v>
      </c>
      <c r="D124" s="19">
        <f t="shared" si="7"/>
        <v>117090000</v>
      </c>
      <c r="E124" s="19">
        <v>117089</v>
      </c>
      <c r="F124" s="19">
        <f t="shared" si="8"/>
        <v>117089000</v>
      </c>
      <c r="G124" s="29"/>
      <c r="H124" s="29">
        <v>3</v>
      </c>
      <c r="I124" s="29"/>
      <c r="J124" s="29"/>
      <c r="K124" s="29">
        <f>AVERAGE(H124,J124)</f>
        <v>3</v>
      </c>
      <c r="L124" s="29">
        <f>0.85*K124</f>
        <v>2.55</v>
      </c>
      <c r="M124" s="29"/>
      <c r="N124" s="29"/>
      <c r="O124" s="29">
        <f t="shared" si="9"/>
        <v>2.55</v>
      </c>
      <c r="P124" s="36">
        <f t="shared" si="10"/>
        <v>45917647.05882353</v>
      </c>
      <c r="Q124" s="36">
        <f t="shared" si="11"/>
        <v>45917254.90196079</v>
      </c>
      <c r="R124" s="25"/>
      <c r="S124" s="20">
        <v>16</v>
      </c>
    </row>
    <row r="125" spans="2:19" ht="12.75">
      <c r="B125" s="18" t="s">
        <v>301</v>
      </c>
      <c r="C125" s="19">
        <v>1808</v>
      </c>
      <c r="D125" s="19">
        <f t="shared" si="7"/>
        <v>1808000</v>
      </c>
      <c r="E125" s="19">
        <v>1808</v>
      </c>
      <c r="F125" s="19">
        <f t="shared" si="8"/>
        <v>1808000</v>
      </c>
      <c r="G125" s="29"/>
      <c r="H125" s="29">
        <v>5</v>
      </c>
      <c r="I125" s="29"/>
      <c r="J125" s="29"/>
      <c r="K125" s="29">
        <f>AVERAGE(H125,J125)</f>
        <v>5</v>
      </c>
      <c r="L125" s="29">
        <f>0.85*K125</f>
        <v>4.25</v>
      </c>
      <c r="M125" s="29"/>
      <c r="N125" s="29"/>
      <c r="O125" s="29">
        <f t="shared" si="9"/>
        <v>4.25</v>
      </c>
      <c r="P125" s="36">
        <f t="shared" si="10"/>
        <v>425411.76470588235</v>
      </c>
      <c r="Q125" s="36">
        <f t="shared" si="11"/>
        <v>425411.76470588235</v>
      </c>
      <c r="R125" s="25"/>
      <c r="S125" s="20">
        <v>16</v>
      </c>
    </row>
    <row r="126" spans="2:19" ht="12.75">
      <c r="B126" s="18" t="s">
        <v>303</v>
      </c>
      <c r="C126" s="19">
        <v>18341</v>
      </c>
      <c r="D126" s="19">
        <f t="shared" si="7"/>
        <v>18341000</v>
      </c>
      <c r="E126" s="19">
        <v>18341</v>
      </c>
      <c r="F126" s="19">
        <f t="shared" si="8"/>
        <v>18341000</v>
      </c>
      <c r="G126" s="29"/>
      <c r="H126" s="29"/>
      <c r="I126" s="29"/>
      <c r="J126" s="29"/>
      <c r="K126" s="29"/>
      <c r="L126" s="29"/>
      <c r="M126" s="29"/>
      <c r="N126" s="29"/>
      <c r="O126" s="29" t="e">
        <f t="shared" si="9"/>
        <v>#DIV/0!</v>
      </c>
      <c r="P126" s="36"/>
      <c r="Q126" s="36"/>
      <c r="R126" s="25"/>
      <c r="S126" s="20"/>
    </row>
    <row r="127" spans="2:19" ht="12.75">
      <c r="B127" s="18" t="s">
        <v>304</v>
      </c>
      <c r="C127" s="19">
        <v>23140</v>
      </c>
      <c r="D127" s="19">
        <f t="shared" si="7"/>
        <v>23140000</v>
      </c>
      <c r="E127" s="19">
        <v>23140</v>
      </c>
      <c r="F127" s="19">
        <f t="shared" si="8"/>
        <v>23140000</v>
      </c>
      <c r="G127" s="29"/>
      <c r="H127" s="29"/>
      <c r="I127" s="29"/>
      <c r="J127" s="29"/>
      <c r="K127" s="29"/>
      <c r="L127" s="29"/>
      <c r="M127" s="29">
        <f>5/16</f>
        <v>0.3125</v>
      </c>
      <c r="N127" s="29"/>
      <c r="O127" s="29">
        <f t="shared" si="9"/>
        <v>0.3125</v>
      </c>
      <c r="P127" s="36">
        <f t="shared" si="10"/>
        <v>74048000</v>
      </c>
      <c r="Q127" s="36">
        <f t="shared" si="11"/>
        <v>74048000</v>
      </c>
      <c r="R127" s="25"/>
      <c r="S127" s="20">
        <v>6</v>
      </c>
    </row>
    <row r="128" spans="2:19" ht="12.75">
      <c r="B128" s="18" t="s">
        <v>305</v>
      </c>
      <c r="C128" s="19">
        <v>5748</v>
      </c>
      <c r="D128" s="19">
        <f t="shared" si="7"/>
        <v>5748000</v>
      </c>
      <c r="E128" s="19">
        <v>5748</v>
      </c>
      <c r="F128" s="19">
        <f t="shared" si="8"/>
        <v>5748000</v>
      </c>
      <c r="G128" s="29"/>
      <c r="H128" s="29"/>
      <c r="I128" s="29"/>
      <c r="J128" s="29"/>
      <c r="K128" s="29"/>
      <c r="L128" s="29"/>
      <c r="M128" s="29"/>
      <c r="N128" s="29"/>
      <c r="O128" s="29" t="e">
        <f t="shared" si="9"/>
        <v>#DIV/0!</v>
      </c>
      <c r="P128" s="36"/>
      <c r="Q128" s="36"/>
      <c r="R128" s="25"/>
      <c r="S128" s="20"/>
    </row>
    <row r="129" spans="2:19" ht="12.75">
      <c r="B129" s="18" t="s">
        <v>306</v>
      </c>
      <c r="C129" s="19">
        <v>83921</v>
      </c>
      <c r="D129" s="19">
        <f t="shared" si="7"/>
        <v>83921000</v>
      </c>
      <c r="E129" s="19">
        <v>83921</v>
      </c>
      <c r="F129" s="19">
        <f t="shared" si="8"/>
        <v>83921000</v>
      </c>
      <c r="G129" s="29"/>
      <c r="H129" s="29"/>
      <c r="I129" s="29"/>
      <c r="J129" s="29"/>
      <c r="K129" s="29"/>
      <c r="L129" s="29"/>
      <c r="M129" s="29"/>
      <c r="N129" s="29"/>
      <c r="O129" s="29" t="e">
        <f t="shared" si="9"/>
        <v>#DIV/0!</v>
      </c>
      <c r="P129" s="36"/>
      <c r="Q129" s="36"/>
      <c r="R129" s="25"/>
      <c r="S129" s="20"/>
    </row>
    <row r="130" spans="2:19" ht="12.75">
      <c r="B130" s="18" t="s">
        <v>307</v>
      </c>
      <c r="C130" s="19">
        <v>7240</v>
      </c>
      <c r="D130" s="19">
        <f t="shared" si="7"/>
        <v>7240000</v>
      </c>
      <c r="E130" s="19">
        <v>7239</v>
      </c>
      <c r="F130" s="19">
        <f t="shared" si="8"/>
        <v>7239000</v>
      </c>
      <c r="G130" s="29"/>
      <c r="H130" s="29"/>
      <c r="I130" s="29"/>
      <c r="J130" s="29"/>
      <c r="K130" s="29"/>
      <c r="L130" s="29"/>
      <c r="M130" s="29"/>
      <c r="N130" s="29"/>
      <c r="O130" s="29" t="e">
        <f t="shared" si="9"/>
        <v>#DIV/0!</v>
      </c>
      <c r="P130" s="36"/>
      <c r="Q130" s="36"/>
      <c r="R130" s="25"/>
      <c r="S130" s="20"/>
    </row>
    <row r="131" spans="2:19" ht="12.75">
      <c r="B131" s="18" t="s">
        <v>308</v>
      </c>
      <c r="C131" s="19">
        <v>4532</v>
      </c>
      <c r="D131" s="19">
        <f t="shared" si="7"/>
        <v>4532000</v>
      </c>
      <c r="E131" s="19">
        <v>4532</v>
      </c>
      <c r="F131" s="19">
        <f t="shared" si="8"/>
        <v>4532000</v>
      </c>
      <c r="G131" s="29"/>
      <c r="H131" s="29"/>
      <c r="I131" s="29"/>
      <c r="J131" s="29"/>
      <c r="K131" s="29"/>
      <c r="L131" s="29"/>
      <c r="M131" s="29">
        <v>0.02</v>
      </c>
      <c r="N131" s="29"/>
      <c r="O131" s="29">
        <f t="shared" si="9"/>
        <v>0.02</v>
      </c>
      <c r="P131" s="36">
        <f t="shared" si="10"/>
        <v>226600000</v>
      </c>
      <c r="Q131" s="36">
        <f t="shared" si="11"/>
        <v>226600000</v>
      </c>
      <c r="R131" s="25" t="s">
        <v>451</v>
      </c>
      <c r="S131" s="20">
        <v>21</v>
      </c>
    </row>
    <row r="132" spans="2:19" ht="12.75">
      <c r="B132" s="18" t="s">
        <v>309</v>
      </c>
      <c r="C132" s="19">
        <v>39652</v>
      </c>
      <c r="D132" s="19">
        <f t="shared" si="7"/>
        <v>39652000</v>
      </c>
      <c r="E132" s="19">
        <v>39652</v>
      </c>
      <c r="F132" s="19">
        <f t="shared" si="8"/>
        <v>39652000</v>
      </c>
      <c r="G132" s="29"/>
      <c r="H132" s="29"/>
      <c r="I132" s="29"/>
      <c r="J132" s="29"/>
      <c r="K132" s="29"/>
      <c r="L132" s="29"/>
      <c r="M132" s="29">
        <f>0.225/16</f>
        <v>0.0140625</v>
      </c>
      <c r="N132" s="29">
        <f>(15/28.35)/16</f>
        <v>0.03306878306878307</v>
      </c>
      <c r="O132" s="29">
        <f t="shared" si="9"/>
        <v>0.023565641534391533</v>
      </c>
      <c r="P132" s="36">
        <f t="shared" si="10"/>
        <v>1682619161.5506053</v>
      </c>
      <c r="Q132" s="36">
        <f t="shared" si="11"/>
        <v>1682619161.5506053</v>
      </c>
      <c r="R132" s="25" t="s">
        <v>452</v>
      </c>
      <c r="S132" s="20" t="s">
        <v>449</v>
      </c>
    </row>
    <row r="133" spans="2:19" ht="12.75">
      <c r="B133" s="18" t="s">
        <v>310</v>
      </c>
      <c r="C133" s="19">
        <v>72</v>
      </c>
      <c r="D133" s="19">
        <f t="shared" si="7"/>
        <v>72000</v>
      </c>
      <c r="E133" s="19">
        <v>72</v>
      </c>
      <c r="F133" s="19">
        <f t="shared" si="8"/>
        <v>72000</v>
      </c>
      <c r="G133" s="29"/>
      <c r="H133" s="29"/>
      <c r="I133" s="29"/>
      <c r="J133" s="29"/>
      <c r="K133" s="29"/>
      <c r="L133" s="29"/>
      <c r="M133" s="29">
        <f>0.04/16</f>
        <v>0.0025</v>
      </c>
      <c r="N133" s="29"/>
      <c r="O133" s="29">
        <f t="shared" si="9"/>
        <v>0.0025</v>
      </c>
      <c r="P133" s="36">
        <f t="shared" si="10"/>
        <v>28800000</v>
      </c>
      <c r="Q133" s="36">
        <f t="shared" si="11"/>
        <v>28800000</v>
      </c>
      <c r="R133" s="25" t="s">
        <v>452</v>
      </c>
      <c r="S133" s="20">
        <v>21</v>
      </c>
    </row>
    <row r="134" spans="2:19" ht="12.75">
      <c r="B134" s="18" t="s">
        <v>311</v>
      </c>
      <c r="C134" s="19">
        <v>1613</v>
      </c>
      <c r="D134" s="19">
        <f t="shared" si="7"/>
        <v>1613000</v>
      </c>
      <c r="E134" s="19">
        <v>1614</v>
      </c>
      <c r="F134" s="19">
        <f t="shared" si="8"/>
        <v>1614000</v>
      </c>
      <c r="G134" s="29"/>
      <c r="H134" s="29"/>
      <c r="I134" s="29"/>
      <c r="J134" s="29"/>
      <c r="K134" s="29"/>
      <c r="L134" s="29"/>
      <c r="M134" s="29"/>
      <c r="N134" s="29"/>
      <c r="O134" s="29" t="e">
        <f t="shared" si="9"/>
        <v>#DIV/0!</v>
      </c>
      <c r="P134" s="36"/>
      <c r="Q134" s="36"/>
      <c r="R134" s="25"/>
      <c r="S134" s="20"/>
    </row>
    <row r="135" spans="2:19" ht="12.75">
      <c r="B135" s="18" t="s">
        <v>312</v>
      </c>
      <c r="C135" s="19">
        <v>13789</v>
      </c>
      <c r="D135" s="19">
        <f t="shared" si="7"/>
        <v>13789000</v>
      </c>
      <c r="E135" s="19">
        <v>13789</v>
      </c>
      <c r="F135" s="19">
        <f t="shared" si="8"/>
        <v>13789000</v>
      </c>
      <c r="G135" s="29"/>
      <c r="H135" s="29"/>
      <c r="I135" s="29"/>
      <c r="J135" s="29"/>
      <c r="K135" s="29"/>
      <c r="L135" s="29"/>
      <c r="M135" s="29">
        <f>0.05/16</f>
        <v>0.003125</v>
      </c>
      <c r="N135" s="29"/>
      <c r="O135" s="29">
        <f t="shared" si="9"/>
        <v>0.003125</v>
      </c>
      <c r="P135" s="36">
        <f t="shared" si="10"/>
        <v>4412480000</v>
      </c>
      <c r="Q135" s="36">
        <f t="shared" si="11"/>
        <v>4412480000</v>
      </c>
      <c r="R135" s="25" t="s">
        <v>450</v>
      </c>
      <c r="S135" s="20">
        <v>21</v>
      </c>
    </row>
    <row r="136" spans="2:19" ht="12.75">
      <c r="B136" s="18" t="s">
        <v>313</v>
      </c>
      <c r="C136" s="19">
        <v>14010</v>
      </c>
      <c r="D136" s="19">
        <f aca="true" t="shared" si="12" ref="D136:D150">1000*C136</f>
        <v>14010000</v>
      </c>
      <c r="E136" s="19">
        <v>14011</v>
      </c>
      <c r="F136" s="19">
        <f aca="true" t="shared" si="13" ref="F136:F150">1000*E136</f>
        <v>14011000</v>
      </c>
      <c r="G136" s="29"/>
      <c r="H136" s="29"/>
      <c r="I136" s="29"/>
      <c r="J136" s="29"/>
      <c r="K136" s="29"/>
      <c r="L136" s="29"/>
      <c r="M136" s="29"/>
      <c r="N136" s="29"/>
      <c r="O136" s="29" t="e">
        <f aca="true" t="shared" si="14" ref="O136:O150">AVERAGE(L136:N136)</f>
        <v>#DIV/0!</v>
      </c>
      <c r="P136" s="36"/>
      <c r="Q136" s="36"/>
      <c r="R136" s="25"/>
      <c r="S136" s="20"/>
    </row>
    <row r="137" spans="2:19" ht="12.75">
      <c r="B137" s="18" t="s">
        <v>314</v>
      </c>
      <c r="C137" s="19">
        <v>25638</v>
      </c>
      <c r="D137" s="19">
        <f t="shared" si="12"/>
        <v>25638000</v>
      </c>
      <c r="E137" s="19">
        <v>25641</v>
      </c>
      <c r="F137" s="19">
        <f t="shared" si="13"/>
        <v>25641000</v>
      </c>
      <c r="G137" s="29"/>
      <c r="H137" s="29"/>
      <c r="I137" s="29"/>
      <c r="J137" s="29"/>
      <c r="K137" s="29"/>
      <c r="L137" s="29"/>
      <c r="M137" s="29"/>
      <c r="N137" s="29"/>
      <c r="O137" s="29" t="e">
        <f t="shared" si="14"/>
        <v>#DIV/0!</v>
      </c>
      <c r="P137" s="36"/>
      <c r="Q137" s="36"/>
      <c r="R137" s="25"/>
      <c r="S137" s="20"/>
    </row>
    <row r="138" spans="2:19" ht="12.75">
      <c r="B138" s="18" t="s">
        <v>315</v>
      </c>
      <c r="C138" s="19">
        <v>205517</v>
      </c>
      <c r="D138" s="19">
        <f t="shared" si="12"/>
        <v>205517000</v>
      </c>
      <c r="E138" s="19">
        <v>205516</v>
      </c>
      <c r="F138" s="19">
        <f t="shared" si="13"/>
        <v>205516000</v>
      </c>
      <c r="G138" s="29"/>
      <c r="H138" s="29"/>
      <c r="I138" s="29"/>
      <c r="J138" s="29"/>
      <c r="K138" s="29"/>
      <c r="L138" s="29"/>
      <c r="M138" s="29"/>
      <c r="N138" s="29"/>
      <c r="O138" s="29" t="e">
        <f t="shared" si="14"/>
        <v>#DIV/0!</v>
      </c>
      <c r="P138" s="36"/>
      <c r="Q138" s="36"/>
      <c r="R138" s="25"/>
      <c r="S138" s="20"/>
    </row>
    <row r="139" spans="2:19" ht="12.75">
      <c r="B139" s="18" t="s">
        <v>316</v>
      </c>
      <c r="C139" s="19">
        <v>45054</v>
      </c>
      <c r="D139" s="19">
        <f t="shared" si="12"/>
        <v>45054000</v>
      </c>
      <c r="E139" s="19">
        <v>45054</v>
      </c>
      <c r="F139" s="19">
        <f t="shared" si="13"/>
        <v>45054000</v>
      </c>
      <c r="G139" s="29"/>
      <c r="H139" s="29"/>
      <c r="I139" s="29"/>
      <c r="J139" s="29"/>
      <c r="K139" s="29"/>
      <c r="L139" s="29"/>
      <c r="M139" s="29"/>
      <c r="N139" s="29"/>
      <c r="O139" s="29" t="e">
        <f t="shared" si="14"/>
        <v>#DIV/0!</v>
      </c>
      <c r="P139" s="36"/>
      <c r="Q139" s="36"/>
      <c r="R139" s="25"/>
      <c r="S139" s="20"/>
    </row>
    <row r="140" spans="2:19" ht="12.75">
      <c r="B140" s="18" t="s">
        <v>317</v>
      </c>
      <c r="C140" s="19">
        <v>36</v>
      </c>
      <c r="D140" s="19">
        <f t="shared" si="12"/>
        <v>36000</v>
      </c>
      <c r="E140" s="19">
        <v>35</v>
      </c>
      <c r="F140" s="19">
        <f t="shared" si="13"/>
        <v>35000</v>
      </c>
      <c r="G140" s="29"/>
      <c r="H140" s="29"/>
      <c r="I140" s="29"/>
      <c r="J140" s="29"/>
      <c r="K140" s="29"/>
      <c r="L140" s="29"/>
      <c r="M140" s="29"/>
      <c r="N140" s="29"/>
      <c r="O140" s="29" t="e">
        <f t="shared" si="14"/>
        <v>#DIV/0!</v>
      </c>
      <c r="P140" s="36"/>
      <c r="Q140" s="36"/>
      <c r="R140" s="25"/>
      <c r="S140" s="20"/>
    </row>
    <row r="141" spans="2:19" ht="12.75">
      <c r="B141" s="18" t="s">
        <v>318</v>
      </c>
      <c r="C141" s="19">
        <v>30054</v>
      </c>
      <c r="D141" s="19">
        <f t="shared" si="12"/>
        <v>30054000</v>
      </c>
      <c r="E141" s="19">
        <v>30054</v>
      </c>
      <c r="F141" s="19">
        <f t="shared" si="13"/>
        <v>30054000</v>
      </c>
      <c r="G141" s="29"/>
      <c r="H141" s="29"/>
      <c r="I141" s="29"/>
      <c r="J141" s="29"/>
      <c r="K141" s="29"/>
      <c r="L141" s="29"/>
      <c r="M141" s="29"/>
      <c r="N141" s="29"/>
      <c r="O141" s="29" t="e">
        <f t="shared" si="14"/>
        <v>#DIV/0!</v>
      </c>
      <c r="P141" s="36"/>
      <c r="Q141" s="36"/>
      <c r="R141" s="25"/>
      <c r="S141" s="20"/>
    </row>
    <row r="142" spans="2:19" ht="12.75">
      <c r="B142" s="18" t="s">
        <v>319</v>
      </c>
      <c r="C142" s="19">
        <v>35630</v>
      </c>
      <c r="D142" s="19">
        <f t="shared" si="12"/>
        <v>35630000</v>
      </c>
      <c r="E142" s="19">
        <v>35630</v>
      </c>
      <c r="F142" s="19">
        <f t="shared" si="13"/>
        <v>35630000</v>
      </c>
      <c r="G142" s="29"/>
      <c r="H142" s="29"/>
      <c r="I142" s="29"/>
      <c r="J142" s="29"/>
      <c r="K142" s="29"/>
      <c r="L142" s="29"/>
      <c r="M142" s="29"/>
      <c r="N142" s="29"/>
      <c r="O142" s="29" t="e">
        <f t="shared" si="14"/>
        <v>#DIV/0!</v>
      </c>
      <c r="P142" s="36"/>
      <c r="Q142" s="36"/>
      <c r="R142" s="25"/>
      <c r="S142" s="20"/>
    </row>
    <row r="143" spans="2:19" ht="12.75">
      <c r="B143" s="18" t="s">
        <v>320</v>
      </c>
      <c r="C143" s="19">
        <v>493</v>
      </c>
      <c r="D143" s="19">
        <f t="shared" si="12"/>
        <v>493000</v>
      </c>
      <c r="E143" s="19">
        <v>493</v>
      </c>
      <c r="F143" s="19">
        <f t="shared" si="13"/>
        <v>493000</v>
      </c>
      <c r="G143" s="29"/>
      <c r="H143" s="29"/>
      <c r="I143" s="29"/>
      <c r="J143" s="29"/>
      <c r="K143" s="29"/>
      <c r="L143" s="29"/>
      <c r="M143" s="29"/>
      <c r="N143" s="29"/>
      <c r="O143" s="29" t="e">
        <f t="shared" si="14"/>
        <v>#DIV/0!</v>
      </c>
      <c r="P143" s="36"/>
      <c r="Q143" s="36"/>
      <c r="R143" s="25"/>
      <c r="S143" s="20"/>
    </row>
    <row r="144" spans="2:19" ht="12.75">
      <c r="B144" s="18" t="s">
        <v>328</v>
      </c>
      <c r="C144" s="19">
        <v>156348</v>
      </c>
      <c r="D144" s="19">
        <f t="shared" si="12"/>
        <v>156348000</v>
      </c>
      <c r="E144" s="19">
        <v>156348</v>
      </c>
      <c r="F144" s="19">
        <f t="shared" si="13"/>
        <v>156348000</v>
      </c>
      <c r="G144" s="29"/>
      <c r="H144" s="29"/>
      <c r="I144" s="29"/>
      <c r="J144" s="29"/>
      <c r="K144" s="29"/>
      <c r="L144" s="29"/>
      <c r="M144" s="29"/>
      <c r="N144" s="29"/>
      <c r="O144" s="29" t="e">
        <f t="shared" si="14"/>
        <v>#DIV/0!</v>
      </c>
      <c r="P144" s="36"/>
      <c r="Q144" s="36"/>
      <c r="R144" s="25"/>
      <c r="S144" s="20"/>
    </row>
    <row r="145" spans="2:19" ht="12.75">
      <c r="B145" s="18" t="s">
        <v>329</v>
      </c>
      <c r="C145" s="19">
        <v>1258</v>
      </c>
      <c r="D145" s="19">
        <f t="shared" si="12"/>
        <v>1258000</v>
      </c>
      <c r="E145" s="19">
        <v>1258</v>
      </c>
      <c r="F145" s="19">
        <f t="shared" si="13"/>
        <v>1258000</v>
      </c>
      <c r="G145" s="29"/>
      <c r="H145" s="29"/>
      <c r="I145" s="29"/>
      <c r="J145" s="29"/>
      <c r="K145" s="29"/>
      <c r="L145" s="29"/>
      <c r="M145" s="29"/>
      <c r="N145" s="29"/>
      <c r="O145" s="29" t="e">
        <f t="shared" si="14"/>
        <v>#DIV/0!</v>
      </c>
      <c r="P145" s="36"/>
      <c r="Q145" s="36"/>
      <c r="R145" s="25"/>
      <c r="S145" s="20"/>
    </row>
    <row r="146" spans="2:19" ht="12.75">
      <c r="B146" s="18" t="s">
        <v>321</v>
      </c>
      <c r="C146" s="19">
        <v>7312</v>
      </c>
      <c r="D146" s="19">
        <f t="shared" si="12"/>
        <v>7312000</v>
      </c>
      <c r="E146" s="19">
        <v>7316</v>
      </c>
      <c r="F146" s="19">
        <f t="shared" si="13"/>
        <v>7316000</v>
      </c>
      <c r="G146" s="29"/>
      <c r="H146" s="29"/>
      <c r="I146" s="29"/>
      <c r="J146" s="29"/>
      <c r="K146" s="29"/>
      <c r="L146" s="29"/>
      <c r="M146" s="29"/>
      <c r="N146" s="29"/>
      <c r="O146" s="29" t="e">
        <f t="shared" si="14"/>
        <v>#DIV/0!</v>
      </c>
      <c r="P146" s="36"/>
      <c r="Q146" s="36"/>
      <c r="R146" s="25"/>
      <c r="S146" s="20"/>
    </row>
    <row r="147" spans="1:19" ht="13.5">
      <c r="A147" s="17" t="s">
        <v>322</v>
      </c>
      <c r="B147" s="18" t="s">
        <v>323</v>
      </c>
      <c r="C147" s="19">
        <v>44568</v>
      </c>
      <c r="D147" s="19">
        <f t="shared" si="12"/>
        <v>44568000</v>
      </c>
      <c r="E147" s="19">
        <v>44568</v>
      </c>
      <c r="F147" s="19">
        <f t="shared" si="13"/>
        <v>44568000</v>
      </c>
      <c r="G147" s="29"/>
      <c r="H147" s="29"/>
      <c r="I147" s="29"/>
      <c r="J147" s="29"/>
      <c r="K147" s="29"/>
      <c r="L147" s="29"/>
      <c r="M147" s="29"/>
      <c r="N147" s="29"/>
      <c r="O147" s="29" t="e">
        <f t="shared" si="14"/>
        <v>#DIV/0!</v>
      </c>
      <c r="P147" s="36"/>
      <c r="Q147" s="36"/>
      <c r="R147" s="25"/>
      <c r="S147" s="20"/>
    </row>
    <row r="148" spans="2:19" ht="12.75">
      <c r="B148" s="18" t="s">
        <v>324</v>
      </c>
      <c r="C148" s="19">
        <v>155274</v>
      </c>
      <c r="D148" s="19">
        <f t="shared" si="12"/>
        <v>155274000</v>
      </c>
      <c r="E148" s="19">
        <v>155274</v>
      </c>
      <c r="F148" s="19">
        <f t="shared" si="13"/>
        <v>155274000</v>
      </c>
      <c r="G148" s="29"/>
      <c r="H148" s="29"/>
      <c r="I148" s="29"/>
      <c r="J148" s="29"/>
      <c r="K148" s="29"/>
      <c r="L148" s="29"/>
      <c r="M148" s="29"/>
      <c r="N148" s="29"/>
      <c r="O148" s="29" t="e">
        <f t="shared" si="14"/>
        <v>#DIV/0!</v>
      </c>
      <c r="P148" s="36"/>
      <c r="Q148" s="36"/>
      <c r="R148" s="25"/>
      <c r="S148" s="20"/>
    </row>
    <row r="149" spans="2:19" ht="12.75">
      <c r="B149" s="18" t="s">
        <v>325</v>
      </c>
      <c r="C149" s="19">
        <v>657</v>
      </c>
      <c r="D149" s="19">
        <f t="shared" si="12"/>
        <v>657000</v>
      </c>
      <c r="E149" s="19">
        <v>657</v>
      </c>
      <c r="F149" s="19">
        <f t="shared" si="13"/>
        <v>657000</v>
      </c>
      <c r="G149" s="29"/>
      <c r="H149" s="29"/>
      <c r="I149" s="29"/>
      <c r="J149" s="29"/>
      <c r="K149" s="29"/>
      <c r="L149" s="29"/>
      <c r="M149" s="29"/>
      <c r="N149" s="29"/>
      <c r="O149" s="29" t="e">
        <f t="shared" si="14"/>
        <v>#DIV/0!</v>
      </c>
      <c r="P149" s="36"/>
      <c r="Q149" s="36"/>
      <c r="R149" s="25"/>
      <c r="S149" s="20"/>
    </row>
    <row r="150" spans="2:19" ht="13.5" thickBot="1">
      <c r="B150" s="18" t="s">
        <v>326</v>
      </c>
      <c r="C150" s="23">
        <v>492</v>
      </c>
      <c r="D150" s="23">
        <f t="shared" si="12"/>
        <v>492000</v>
      </c>
      <c r="E150" s="23">
        <v>492</v>
      </c>
      <c r="F150" s="23">
        <f t="shared" si="13"/>
        <v>492000</v>
      </c>
      <c r="G150" s="29"/>
      <c r="H150" s="29"/>
      <c r="I150" s="30"/>
      <c r="J150" s="29"/>
      <c r="K150" s="29"/>
      <c r="L150" s="29"/>
      <c r="M150" s="29"/>
      <c r="N150" s="29"/>
      <c r="O150" s="29" t="e">
        <f t="shared" si="14"/>
        <v>#DIV/0!</v>
      </c>
      <c r="P150" s="36"/>
      <c r="Q150" s="36"/>
      <c r="R150" s="25"/>
      <c r="S150" s="20"/>
    </row>
    <row r="151" spans="2:19" ht="14.25" thickTop="1">
      <c r="B151" s="24" t="s">
        <v>464</v>
      </c>
      <c r="D151" s="3">
        <f>SUM(D7:D150)</f>
        <v>9845784000</v>
      </c>
      <c r="E151" s="3">
        <f>SUM(E7:E150)</f>
        <v>10224416</v>
      </c>
      <c r="F151" s="3">
        <f>SUM(F7:F150)</f>
        <v>10224416000</v>
      </c>
      <c r="H151" s="32" t="s">
        <v>457</v>
      </c>
      <c r="I151" s="27">
        <f>AVERAGE(I7:I150)</f>
        <v>0.7300925853433223</v>
      </c>
      <c r="O151" s="32" t="s">
        <v>464</v>
      </c>
      <c r="P151" s="34">
        <f>SUM(P7:P150)</f>
        <v>9874482640.77416</v>
      </c>
      <c r="Q151" s="34">
        <f>SUM(Q7:Q150)</f>
        <v>9892580752.182259</v>
      </c>
      <c r="R151" s="26"/>
      <c r="S151" s="4"/>
    </row>
    <row r="152" spans="18:19" ht="12.75">
      <c r="R152" s="26"/>
      <c r="S152" s="4"/>
    </row>
    <row r="153" spans="18:19" ht="12.75">
      <c r="R153" s="26"/>
      <c r="S153" s="4"/>
    </row>
    <row r="154" spans="18:19" ht="12.75">
      <c r="R154" s="26"/>
      <c r="S154" s="4"/>
    </row>
    <row r="155" spans="18:19" ht="12.75">
      <c r="R155" s="26"/>
      <c r="S155" s="4"/>
    </row>
    <row r="156" spans="18:19" ht="12.75">
      <c r="R156" s="26"/>
      <c r="S156" s="4"/>
    </row>
    <row r="157" spans="18:19" ht="12.75">
      <c r="R157" s="26"/>
      <c r="S157" s="4"/>
    </row>
    <row r="158" spans="18:19" ht="12.75">
      <c r="R158" s="26"/>
      <c r="S158" s="4"/>
    </row>
    <row r="159" spans="18:19" ht="12.75">
      <c r="R159" s="26"/>
      <c r="S159" s="4"/>
    </row>
    <row r="160" spans="18:19" ht="12.75">
      <c r="R160" s="26"/>
      <c r="S160" s="4"/>
    </row>
    <row r="161" spans="18:19" ht="12.75">
      <c r="R161" s="26"/>
      <c r="S161" s="4"/>
    </row>
    <row r="162" spans="18:19" ht="12.75">
      <c r="R162" s="26"/>
      <c r="S162" s="4"/>
    </row>
    <row r="163" spans="18:19" ht="12.75">
      <c r="R163" s="26"/>
      <c r="S163" s="4"/>
    </row>
    <row r="164" spans="18:19" ht="12.75">
      <c r="R164" s="26"/>
      <c r="S164" s="4"/>
    </row>
    <row r="165" spans="18:19" ht="12.75">
      <c r="R165" s="26"/>
      <c r="S165" s="4"/>
    </row>
    <row r="166" spans="18:19" ht="12.75">
      <c r="R166" s="26"/>
      <c r="S166" s="4"/>
    </row>
    <row r="167" spans="18:19" ht="12.75">
      <c r="R167" s="26"/>
      <c r="S167" s="4"/>
    </row>
    <row r="168" spans="18:19" ht="12.75">
      <c r="R168" s="26"/>
      <c r="S168" s="4"/>
    </row>
    <row r="169" spans="18:19" ht="12.75">
      <c r="R169" s="26"/>
      <c r="S169" s="4"/>
    </row>
    <row r="170" spans="18:19" ht="12.75">
      <c r="R170" s="26"/>
      <c r="S170" s="4"/>
    </row>
    <row r="171" spans="18:19" ht="12.75">
      <c r="R171" s="26"/>
      <c r="S171" s="4"/>
    </row>
    <row r="172" spans="18:19" ht="12.75">
      <c r="R172" s="26"/>
      <c r="S172" s="4"/>
    </row>
    <row r="173" spans="18:19" ht="12.75">
      <c r="R173" s="26"/>
      <c r="S173" s="4"/>
    </row>
    <row r="174" spans="18:19" ht="12.75">
      <c r="R174" s="26"/>
      <c r="S174" s="4"/>
    </row>
    <row r="175" spans="18:19" ht="12.75">
      <c r="R175" s="26"/>
      <c r="S175" s="4"/>
    </row>
    <row r="176" spans="18:19" ht="12.75">
      <c r="R176" s="26"/>
      <c r="S176" s="4"/>
    </row>
    <row r="177" spans="18:19" ht="12.75">
      <c r="R177" s="26"/>
      <c r="S177" s="4"/>
    </row>
    <row r="178" spans="18:19" ht="12.75">
      <c r="R178" s="26"/>
      <c r="S178" s="4"/>
    </row>
    <row r="179" spans="18:19" ht="12.75">
      <c r="R179" s="26"/>
      <c r="S179" s="4"/>
    </row>
    <row r="180" spans="18:19" ht="12.75">
      <c r="R180" s="26"/>
      <c r="S180" s="4"/>
    </row>
    <row r="181" spans="18:19" ht="12.75">
      <c r="R181" s="26"/>
      <c r="S181" s="4"/>
    </row>
    <row r="182" spans="18:19" ht="12.75">
      <c r="R182" s="26"/>
      <c r="S182" s="4"/>
    </row>
    <row r="183" spans="18:19" ht="12.75">
      <c r="R183" s="26"/>
      <c r="S183" s="4"/>
    </row>
    <row r="184" spans="18:19" ht="12.75">
      <c r="R184" s="26"/>
      <c r="S184" s="4"/>
    </row>
    <row r="185" spans="18:19" ht="12.75">
      <c r="R185" s="26"/>
      <c r="S185" s="4"/>
    </row>
    <row r="186" spans="18:19" ht="12.75">
      <c r="R186" s="26"/>
      <c r="S186" s="4"/>
    </row>
    <row r="187" spans="18:19" ht="12.75">
      <c r="R187" s="26"/>
      <c r="S187" s="4"/>
    </row>
    <row r="188" spans="18:19" ht="12.75">
      <c r="R188" s="26"/>
      <c r="S188" s="4"/>
    </row>
    <row r="189" spans="18:19" ht="12.75">
      <c r="R189" s="4"/>
      <c r="S189" s="4"/>
    </row>
    <row r="190" spans="18:19" ht="12.75">
      <c r="R190" s="4"/>
      <c r="S190" s="4"/>
    </row>
    <row r="191" spans="18:19" ht="12.75">
      <c r="R191" s="4"/>
      <c r="S191" s="4"/>
    </row>
    <row r="192" spans="18:19" ht="12.75">
      <c r="R192" s="4"/>
      <c r="S192" s="4"/>
    </row>
    <row r="193" spans="18:19" ht="12.75">
      <c r="R193" s="4"/>
      <c r="S193" s="4"/>
    </row>
    <row r="194" spans="18:19" ht="12.75">
      <c r="R194" s="4"/>
      <c r="S194" s="4"/>
    </row>
    <row r="195" spans="18:19" ht="12.75">
      <c r="R195" s="4"/>
      <c r="S195" s="4"/>
    </row>
    <row r="196" spans="18:19" ht="12.75">
      <c r="R196" s="4"/>
      <c r="S196" s="4"/>
    </row>
    <row r="197" spans="18:19" ht="12.75">
      <c r="R197" s="4"/>
      <c r="S197" s="4"/>
    </row>
    <row r="198" spans="18:19" ht="12.75">
      <c r="R198" s="4"/>
      <c r="S198" s="4"/>
    </row>
    <row r="199" spans="18:19" ht="12.75">
      <c r="R199" s="4"/>
      <c r="S199" s="4"/>
    </row>
    <row r="200" spans="18:19" ht="12.75">
      <c r="R200" s="4"/>
      <c r="S200" s="4"/>
    </row>
    <row r="201" spans="18:19" ht="12.75">
      <c r="R201" s="4"/>
      <c r="S201" s="4"/>
    </row>
    <row r="202" spans="18:19" ht="12.75">
      <c r="R202" s="4"/>
      <c r="S202" s="4"/>
    </row>
    <row r="203" spans="18:19" ht="12.75">
      <c r="R203" s="4"/>
      <c r="S203" s="4"/>
    </row>
    <row r="204" spans="18:19" ht="12.75">
      <c r="R204" s="4"/>
      <c r="S204" s="4"/>
    </row>
    <row r="205" spans="18:19" ht="12.75">
      <c r="R205" s="4"/>
      <c r="S205" s="4"/>
    </row>
    <row r="206" spans="18:19" ht="12.75">
      <c r="R206" s="4"/>
      <c r="S206" s="4"/>
    </row>
    <row r="207" spans="18:19" ht="12.75">
      <c r="R207" s="4"/>
      <c r="S207" s="4"/>
    </row>
    <row r="208" spans="18:19" ht="12.75">
      <c r="R208" s="4"/>
      <c r="S208" s="4"/>
    </row>
    <row r="209" spans="18:19" ht="12.75">
      <c r="R209" s="4"/>
      <c r="S209" s="4"/>
    </row>
    <row r="210" spans="18:19" ht="12.75">
      <c r="R210" s="4"/>
      <c r="S210" s="4"/>
    </row>
    <row r="211" spans="18:19" ht="12.75">
      <c r="R211" s="4"/>
      <c r="S211" s="4"/>
    </row>
    <row r="212" spans="18:19" ht="12.75">
      <c r="R212" s="4"/>
      <c r="S212" s="4"/>
    </row>
    <row r="213" spans="18:19" ht="12.75">
      <c r="R213" s="4"/>
      <c r="S213" s="4"/>
    </row>
    <row r="214" spans="18:19" ht="12.75">
      <c r="R214" s="4"/>
      <c r="S214" s="4"/>
    </row>
    <row r="215" spans="18:19" ht="12.75">
      <c r="R215" s="4"/>
      <c r="S215" s="4"/>
    </row>
    <row r="216" spans="18:19" ht="12.75">
      <c r="R216" s="4"/>
      <c r="S216" s="4"/>
    </row>
    <row r="217" spans="18:19" ht="12.75">
      <c r="R217" s="4"/>
      <c r="S217" s="4"/>
    </row>
    <row r="218" spans="18:19" ht="12.75">
      <c r="R218" s="4"/>
      <c r="S218" s="4"/>
    </row>
    <row r="219" spans="18:19" ht="12.75">
      <c r="R219" s="4"/>
      <c r="S219" s="4"/>
    </row>
    <row r="220" spans="18:19" ht="12.75">
      <c r="R220" s="4"/>
      <c r="S220" s="4"/>
    </row>
    <row r="221" spans="18:19" ht="12.75">
      <c r="R221" s="4"/>
      <c r="S221" s="4"/>
    </row>
    <row r="222" spans="18:19" ht="12.75">
      <c r="R222" s="4"/>
      <c r="S222" s="4"/>
    </row>
    <row r="223" spans="18:19" ht="12.75">
      <c r="R223" s="4"/>
      <c r="S223" s="4"/>
    </row>
    <row r="224" spans="18:19" ht="12.75">
      <c r="R224" s="4"/>
      <c r="S224" s="4"/>
    </row>
    <row r="225" spans="18:19" ht="12.75">
      <c r="R225" s="4"/>
      <c r="S225" s="4"/>
    </row>
    <row r="226" spans="18:19" ht="12.75">
      <c r="R226" s="4"/>
      <c r="S226" s="4"/>
    </row>
    <row r="227" spans="18:19" ht="12.75">
      <c r="R227" s="4"/>
      <c r="S227" s="4"/>
    </row>
    <row r="228" spans="18:19" ht="12.75">
      <c r="R228" s="4"/>
      <c r="S228" s="4"/>
    </row>
    <row r="229" spans="18:19" ht="12.75">
      <c r="R229" s="4"/>
      <c r="S229" s="4"/>
    </row>
    <row r="230" spans="18:19" ht="12.75">
      <c r="R230" s="4"/>
      <c r="S230" s="4"/>
    </row>
    <row r="231" spans="18:19" ht="12.75">
      <c r="R231" s="4"/>
      <c r="S231" s="4"/>
    </row>
    <row r="232" spans="18:19" ht="12.75">
      <c r="R232" s="4"/>
      <c r="S232" s="4"/>
    </row>
    <row r="233" spans="18:19" ht="12.75">
      <c r="R233" s="4"/>
      <c r="S233" s="4"/>
    </row>
    <row r="234" spans="18:19" ht="12.75">
      <c r="R234" s="4"/>
      <c r="S234" s="4"/>
    </row>
    <row r="235" spans="18:19" ht="12.75">
      <c r="R235" s="4"/>
      <c r="S235" s="4"/>
    </row>
    <row r="236" spans="18:19" ht="12.75">
      <c r="R236" s="4"/>
      <c r="S236" s="4"/>
    </row>
    <row r="237" spans="18:19" ht="12.75">
      <c r="R237" s="4"/>
      <c r="S237" s="4"/>
    </row>
    <row r="238" spans="18:19" ht="12.75">
      <c r="R238" s="4"/>
      <c r="S238" s="4"/>
    </row>
    <row r="239" spans="18:19" ht="12.75">
      <c r="R239" s="4"/>
      <c r="S239" s="4"/>
    </row>
    <row r="240" spans="18:19" ht="12.75">
      <c r="R240" s="4"/>
      <c r="S240" s="4"/>
    </row>
    <row r="241" spans="18:19" ht="12.75">
      <c r="R241" s="4"/>
      <c r="S241" s="4"/>
    </row>
    <row r="242" spans="18:19" ht="12.75">
      <c r="R242" s="4"/>
      <c r="S242" s="4"/>
    </row>
    <row r="243" spans="18:19" ht="12.75">
      <c r="R243" s="4"/>
      <c r="S243" s="4"/>
    </row>
    <row r="244" spans="18:19" ht="12.75">
      <c r="R244" s="4"/>
      <c r="S244" s="4"/>
    </row>
    <row r="245" spans="18:19" ht="12.75">
      <c r="R245" s="4"/>
      <c r="S245" s="4"/>
    </row>
    <row r="246" spans="18:19" ht="12.75">
      <c r="R246" s="4"/>
      <c r="S246" s="4"/>
    </row>
    <row r="247" spans="18:19" ht="12.75">
      <c r="R247" s="4"/>
      <c r="S247" s="4"/>
    </row>
    <row r="248" spans="18:19" ht="12.75">
      <c r="R248" s="4"/>
      <c r="S248" s="4"/>
    </row>
    <row r="249" spans="18:19" ht="12.75">
      <c r="R249" s="4"/>
      <c r="S249" s="4"/>
    </row>
    <row r="250" spans="18:19" ht="12.75">
      <c r="R250" s="4"/>
      <c r="S250" s="4"/>
    </row>
    <row r="251" spans="18:19" ht="12.75">
      <c r="R251" s="4"/>
      <c r="S251" s="4"/>
    </row>
    <row r="252" spans="18:19" ht="12.75">
      <c r="R252" s="4"/>
      <c r="S252" s="4"/>
    </row>
    <row r="253" spans="18:19" ht="12.75">
      <c r="R253" s="4"/>
      <c r="S253" s="4"/>
    </row>
    <row r="254" spans="18:19" ht="12.75">
      <c r="R254" s="4"/>
      <c r="S254" s="4"/>
    </row>
    <row r="255" spans="18:19" ht="12.75">
      <c r="R255" s="4"/>
      <c r="S255" s="4"/>
    </row>
    <row r="256" spans="18:19" ht="12.75">
      <c r="R256" s="4"/>
      <c r="S256" s="4"/>
    </row>
    <row r="257" spans="18:19" ht="12.75">
      <c r="R257" s="4"/>
      <c r="S257" s="4"/>
    </row>
    <row r="258" spans="18:19" ht="12.75">
      <c r="R258" s="4"/>
      <c r="S258" s="4"/>
    </row>
    <row r="259" spans="18:19" ht="12.75">
      <c r="R259" s="4"/>
      <c r="S259" s="4"/>
    </row>
    <row r="260" spans="18:19" ht="12.75">
      <c r="R260" s="4"/>
      <c r="S260" s="4"/>
    </row>
    <row r="261" spans="18:19" ht="12.75">
      <c r="R261" s="4"/>
      <c r="S261" s="4"/>
    </row>
    <row r="262" spans="18:19" ht="12.75">
      <c r="R262" s="4"/>
      <c r="S262" s="4"/>
    </row>
    <row r="263" spans="18:19" ht="12.75">
      <c r="R263" s="4"/>
      <c r="S263" s="4"/>
    </row>
    <row r="264" spans="18:19" ht="12.75">
      <c r="R264" s="4"/>
      <c r="S264" s="4"/>
    </row>
    <row r="265" spans="18:19" ht="12.75">
      <c r="R265" s="4"/>
      <c r="S265" s="4"/>
    </row>
    <row r="266" spans="18:19" ht="12.75">
      <c r="R266" s="4"/>
      <c r="S266" s="4"/>
    </row>
    <row r="267" spans="18:19" ht="12.75">
      <c r="R267" s="4"/>
      <c r="S267" s="4"/>
    </row>
    <row r="268" spans="18:19" ht="12.75">
      <c r="R268" s="4"/>
      <c r="S268" s="4"/>
    </row>
    <row r="269" spans="18:19" ht="12.75">
      <c r="R269" s="4"/>
      <c r="S269" s="4"/>
    </row>
    <row r="270" spans="18:19" ht="12.75">
      <c r="R270" s="4"/>
      <c r="S270" s="4"/>
    </row>
    <row r="271" spans="18:19" ht="12.75">
      <c r="R271" s="4"/>
      <c r="S271" s="4"/>
    </row>
    <row r="272" spans="18:19" ht="12.75">
      <c r="R272" s="4"/>
      <c r="S272" s="4"/>
    </row>
    <row r="273" spans="18:19" ht="12.75">
      <c r="R273" s="4"/>
      <c r="S273" s="4"/>
    </row>
    <row r="274" spans="18:19" ht="12.75">
      <c r="R274" s="4"/>
      <c r="S274" s="4"/>
    </row>
    <row r="275" spans="18:19" ht="12.75">
      <c r="R275" s="4"/>
      <c r="S275" s="4"/>
    </row>
    <row r="276" spans="18:19" ht="12.75">
      <c r="R276" s="4"/>
      <c r="S276" s="4"/>
    </row>
    <row r="277" spans="18:19" ht="12.75">
      <c r="R277" s="4"/>
      <c r="S277" s="4"/>
    </row>
    <row r="278" spans="18:19" ht="12.75">
      <c r="R278" s="4"/>
      <c r="S278" s="4"/>
    </row>
    <row r="279" spans="18:19" ht="12.75">
      <c r="R279" s="4"/>
      <c r="S279" s="4"/>
    </row>
    <row r="280" spans="18:19" ht="12.75">
      <c r="R280" s="4"/>
      <c r="S280" s="4"/>
    </row>
    <row r="281" spans="18:19" ht="12.75">
      <c r="R281" s="4"/>
      <c r="S281" s="4"/>
    </row>
    <row r="282" spans="18:19" ht="12.75">
      <c r="R282" s="4"/>
      <c r="S282" s="4"/>
    </row>
    <row r="283" spans="18:19" ht="12.75">
      <c r="R283" s="4"/>
      <c r="S283" s="4"/>
    </row>
    <row r="284" spans="18:19" ht="12.75">
      <c r="R284" s="4"/>
      <c r="S284" s="4"/>
    </row>
    <row r="285" spans="18:19" ht="12.75">
      <c r="R285" s="4"/>
      <c r="S285" s="4"/>
    </row>
    <row r="286" spans="18:19" ht="12.75">
      <c r="R286" s="4"/>
      <c r="S286" s="4"/>
    </row>
    <row r="287" spans="18:19" ht="12.75">
      <c r="R287" s="4"/>
      <c r="S287" s="4"/>
    </row>
    <row r="288" spans="18:19" ht="12.75">
      <c r="R288" s="4"/>
      <c r="S288" s="4"/>
    </row>
    <row r="289" spans="18:19" ht="12.75">
      <c r="R289" s="4"/>
      <c r="S289" s="4"/>
    </row>
    <row r="290" spans="18:19" ht="12.75">
      <c r="R290" s="4"/>
      <c r="S290" s="4"/>
    </row>
    <row r="291" spans="18:19" ht="12.75">
      <c r="R291" s="4"/>
      <c r="S291" s="4"/>
    </row>
    <row r="292" spans="18:19" ht="12.75">
      <c r="R292" s="4"/>
      <c r="S292" s="4"/>
    </row>
    <row r="293" spans="18:19" ht="12.75">
      <c r="R293" s="4"/>
      <c r="S293" s="4"/>
    </row>
    <row r="294" spans="18:19" ht="12.75">
      <c r="R294" s="4"/>
      <c r="S294" s="4"/>
    </row>
    <row r="295" spans="18:19" ht="12.75">
      <c r="R295" s="4"/>
      <c r="S295" s="4"/>
    </row>
    <row r="296" spans="18:19" ht="12.75">
      <c r="R296" s="4"/>
      <c r="S296" s="4"/>
    </row>
    <row r="297" spans="18:19" ht="12.75">
      <c r="R297" s="4"/>
      <c r="S297" s="4"/>
    </row>
    <row r="298" spans="18:19" ht="12.75">
      <c r="R298" s="4"/>
      <c r="S298" s="4"/>
    </row>
    <row r="299" spans="18:19" ht="12.75">
      <c r="R299" s="4"/>
      <c r="S299" s="4"/>
    </row>
    <row r="300" spans="18:19" ht="12.75">
      <c r="R300" s="4"/>
      <c r="S300" s="4"/>
    </row>
    <row r="301" spans="18:19" ht="12.75">
      <c r="R301" s="4"/>
      <c r="S301" s="4"/>
    </row>
    <row r="302" spans="18:19" ht="12.75">
      <c r="R302" s="4"/>
      <c r="S302" s="4"/>
    </row>
    <row r="303" spans="18:19" ht="12.75">
      <c r="R303" s="4"/>
      <c r="S303" s="4"/>
    </row>
    <row r="304" spans="18:19" ht="12.75">
      <c r="R304" s="4"/>
      <c r="S304" s="4"/>
    </row>
    <row r="305" spans="18:19" ht="12.75">
      <c r="R305" s="4"/>
      <c r="S305" s="4"/>
    </row>
    <row r="306" spans="18:19" ht="12.75">
      <c r="R306" s="4"/>
      <c r="S306" s="4"/>
    </row>
    <row r="307" spans="18:19" ht="12.75">
      <c r="R307" s="4"/>
      <c r="S307" s="4"/>
    </row>
    <row r="308" spans="18:19" ht="12.75">
      <c r="R308" s="4"/>
      <c r="S308" s="4"/>
    </row>
    <row r="309" spans="18:19" ht="12.75">
      <c r="R309" s="4"/>
      <c r="S309" s="4"/>
    </row>
    <row r="310" spans="18:19" ht="12.75">
      <c r="R310" s="4"/>
      <c r="S310" s="4"/>
    </row>
    <row r="311" spans="18:19" ht="12.75">
      <c r="R311" s="4"/>
      <c r="S311" s="4"/>
    </row>
    <row r="312" spans="18:19" ht="12.75">
      <c r="R312" s="4"/>
      <c r="S312" s="4"/>
    </row>
    <row r="313" spans="18:19" ht="12.75">
      <c r="R313" s="4"/>
      <c r="S313" s="4"/>
    </row>
    <row r="314" spans="18:19" ht="12.75">
      <c r="R314" s="4"/>
      <c r="S314" s="4"/>
    </row>
    <row r="315" spans="18:19" ht="12.75">
      <c r="R315" s="4"/>
      <c r="S315" s="4"/>
    </row>
    <row r="316" spans="18:19" ht="12.75">
      <c r="R316" s="4"/>
      <c r="S316" s="4"/>
    </row>
    <row r="317" spans="18:19" ht="12.75">
      <c r="R317" s="4"/>
      <c r="S317" s="4"/>
    </row>
    <row r="318" spans="18:19" ht="12.75">
      <c r="R318" s="4"/>
      <c r="S318" s="4"/>
    </row>
    <row r="319" spans="18:19" ht="12.75">
      <c r="R319" s="4"/>
      <c r="S319" s="4"/>
    </row>
    <row r="320" spans="18:19" ht="12.75">
      <c r="R320" s="4"/>
      <c r="S320" s="4"/>
    </row>
    <row r="321" spans="18:19" ht="12.75">
      <c r="R321" s="4"/>
      <c r="S321" s="4"/>
    </row>
    <row r="322" spans="18:19" ht="12.75">
      <c r="R322" s="4"/>
      <c r="S322" s="4"/>
    </row>
    <row r="323" spans="18:19" ht="12.75">
      <c r="R323" s="4"/>
      <c r="S323" s="4"/>
    </row>
    <row r="324" spans="18:19" ht="12.75">
      <c r="R324" s="4"/>
      <c r="S324" s="4"/>
    </row>
    <row r="325" spans="18:19" ht="12.75">
      <c r="R325" s="4"/>
      <c r="S325" s="4"/>
    </row>
    <row r="326" spans="18:19" ht="12.75">
      <c r="R326" s="4"/>
      <c r="S326" s="4"/>
    </row>
    <row r="327" spans="18:19" ht="12.75">
      <c r="R327" s="4"/>
      <c r="S327" s="4"/>
    </row>
    <row r="328" spans="18:19" ht="12.75">
      <c r="R328" s="4"/>
      <c r="S328" s="4"/>
    </row>
    <row r="329" spans="18:19" ht="12.75">
      <c r="R329" s="4"/>
      <c r="S329" s="4"/>
    </row>
    <row r="330" spans="18:19" ht="12.75">
      <c r="R330" s="4"/>
      <c r="S330" s="4"/>
    </row>
    <row r="331" spans="18:19" ht="12.75">
      <c r="R331" s="4"/>
      <c r="S331" s="4"/>
    </row>
    <row r="332" spans="18:19" ht="12.75">
      <c r="R332" s="4"/>
      <c r="S332" s="4"/>
    </row>
    <row r="333" spans="18:19" ht="12.75">
      <c r="R333" s="4"/>
      <c r="S333" s="4"/>
    </row>
    <row r="334" spans="18:19" ht="12.75">
      <c r="R334" s="4"/>
      <c r="S334" s="4"/>
    </row>
    <row r="335" spans="18:19" ht="12.75">
      <c r="R335" s="4"/>
      <c r="S335" s="4"/>
    </row>
    <row r="336" spans="18:19" ht="12.75">
      <c r="R336" s="4"/>
      <c r="S336" s="4"/>
    </row>
    <row r="337" spans="18:19" ht="12.75">
      <c r="R337" s="4"/>
      <c r="S337" s="4"/>
    </row>
    <row r="338" spans="18:19" ht="12.75">
      <c r="R338" s="4"/>
      <c r="S338" s="4"/>
    </row>
    <row r="339" spans="18:19" ht="12.75">
      <c r="R339" s="4"/>
      <c r="S339" s="4"/>
    </row>
    <row r="340" spans="18:19" ht="12.75">
      <c r="R340" s="4"/>
      <c r="S340" s="4"/>
    </row>
    <row r="341" spans="18:19" ht="12.75">
      <c r="R341" s="4"/>
      <c r="S341" s="4"/>
    </row>
    <row r="342" spans="18:19" ht="12.75">
      <c r="R342" s="4"/>
      <c r="S342" s="4"/>
    </row>
    <row r="343" spans="18:19" ht="12.75">
      <c r="R343" s="4"/>
      <c r="S343" s="4"/>
    </row>
    <row r="344" spans="18:19" ht="12.75">
      <c r="R344" s="4"/>
      <c r="S344" s="4"/>
    </row>
    <row r="345" spans="18:19" ht="12.75">
      <c r="R345" s="4"/>
      <c r="S345" s="4"/>
    </row>
    <row r="346" spans="18:19" ht="12.75">
      <c r="R346" s="4"/>
      <c r="S346" s="4"/>
    </row>
    <row r="347" spans="18:19" ht="12.75">
      <c r="R347" s="4"/>
      <c r="S347" s="4"/>
    </row>
    <row r="348" spans="18:19" ht="12.75">
      <c r="R348" s="4"/>
      <c r="S348" s="4"/>
    </row>
    <row r="349" spans="18:19" ht="12.75">
      <c r="R349" s="4"/>
      <c r="S349" s="4"/>
    </row>
    <row r="350" spans="18:19" ht="12.75">
      <c r="R350" s="4"/>
      <c r="S350" s="4"/>
    </row>
    <row r="351" spans="18:19" ht="12.75">
      <c r="R351" s="4"/>
      <c r="S351" s="4"/>
    </row>
    <row r="352" spans="18:19" ht="12.75">
      <c r="R352" s="4"/>
      <c r="S352" s="4"/>
    </row>
    <row r="353" spans="18:19" ht="12.75">
      <c r="R353" s="4"/>
      <c r="S353" s="4"/>
    </row>
    <row r="354" spans="18:19" ht="12.75">
      <c r="R354" s="4"/>
      <c r="S354" s="4"/>
    </row>
    <row r="355" spans="18:19" ht="12.75">
      <c r="R355" s="4"/>
      <c r="S355" s="4"/>
    </row>
    <row r="356" spans="18:19" ht="12.75">
      <c r="R356" s="4"/>
      <c r="S356" s="4"/>
    </row>
    <row r="357" spans="18:19" ht="12.75">
      <c r="R357" s="4"/>
      <c r="S357" s="4"/>
    </row>
    <row r="358" spans="18:19" ht="12.75">
      <c r="R358" s="4"/>
      <c r="S358" s="4"/>
    </row>
    <row r="359" spans="18:19" ht="12.75">
      <c r="R359" s="4"/>
      <c r="S359" s="4"/>
    </row>
    <row r="360" spans="18:19" ht="12.75">
      <c r="R360" s="4"/>
      <c r="S360" s="4"/>
    </row>
    <row r="361" spans="18:19" ht="12.75">
      <c r="R361" s="4"/>
      <c r="S361" s="4"/>
    </row>
    <row r="362" spans="18:19" ht="12.75">
      <c r="R362" s="4"/>
      <c r="S362" s="4"/>
    </row>
    <row r="363" spans="18:19" ht="12.75">
      <c r="R363" s="4"/>
      <c r="S363" s="4"/>
    </row>
    <row r="364" spans="18:19" ht="12.75">
      <c r="R364" s="4"/>
      <c r="S364" s="4"/>
    </row>
    <row r="365" spans="18:19" ht="12.75">
      <c r="R365" s="4"/>
      <c r="S365" s="4"/>
    </row>
    <row r="366" spans="18:19" ht="12.75">
      <c r="R366" s="4"/>
      <c r="S366" s="4"/>
    </row>
    <row r="367" spans="18:19" ht="12.75">
      <c r="R367" s="4"/>
      <c r="S367" s="4"/>
    </row>
    <row r="368" spans="18:19" ht="12.75">
      <c r="R368" s="4"/>
      <c r="S368" s="4"/>
    </row>
    <row r="369" spans="18:19" ht="12.75">
      <c r="R369" s="4"/>
      <c r="S369" s="4"/>
    </row>
    <row r="370" spans="18:19" ht="12.75">
      <c r="R370" s="4"/>
      <c r="S370" s="4"/>
    </row>
    <row r="371" spans="18:19" ht="12.75">
      <c r="R371" s="4"/>
      <c r="S371" s="4"/>
    </row>
    <row r="372" spans="18:19" ht="12.75">
      <c r="R372" s="4"/>
      <c r="S372" s="4"/>
    </row>
    <row r="373" spans="18:19" ht="12.75">
      <c r="R373" s="4"/>
      <c r="S373" s="4"/>
    </row>
    <row r="374" spans="18:19" ht="12.75">
      <c r="R374" s="4"/>
      <c r="S374" s="4"/>
    </row>
    <row r="375" spans="18:19" ht="12.75">
      <c r="R375" s="4"/>
      <c r="S375" s="4"/>
    </row>
    <row r="376" spans="18:19" ht="12.75">
      <c r="R376" s="4"/>
      <c r="S376" s="4"/>
    </row>
    <row r="377" spans="18:19" ht="12.75">
      <c r="R377" s="4"/>
      <c r="S377" s="4"/>
    </row>
    <row r="378" spans="18:19" ht="12.75">
      <c r="R378" s="4"/>
      <c r="S378" s="4"/>
    </row>
    <row r="379" spans="18:19" ht="12.75">
      <c r="R379" s="4"/>
      <c r="S379" s="4"/>
    </row>
    <row r="380" spans="18:19" ht="12.75">
      <c r="R380" s="4"/>
      <c r="S380" s="4"/>
    </row>
    <row r="381" spans="18:19" ht="12.75">
      <c r="R381" s="4"/>
      <c r="S381" s="4"/>
    </row>
    <row r="382" spans="18:19" ht="12.75">
      <c r="R382" s="4"/>
      <c r="S382" s="4"/>
    </row>
    <row r="383" spans="18:19" ht="12.75">
      <c r="R383" s="4"/>
      <c r="S383" s="4"/>
    </row>
    <row r="384" spans="18:19" ht="12.75">
      <c r="R384" s="4"/>
      <c r="S384" s="4"/>
    </row>
    <row r="385" spans="18:19" ht="12.75">
      <c r="R385" s="4"/>
      <c r="S385" s="4"/>
    </row>
    <row r="386" spans="18:19" ht="12.75">
      <c r="R386" s="4"/>
      <c r="S386" s="4"/>
    </row>
    <row r="387" spans="18:19" ht="12.75">
      <c r="R387" s="4"/>
      <c r="S387" s="4"/>
    </row>
    <row r="388" spans="18:19" ht="12.75">
      <c r="R388" s="4"/>
      <c r="S388" s="4"/>
    </row>
    <row r="389" spans="18:19" ht="12.75">
      <c r="R389" s="4"/>
      <c r="S389" s="4"/>
    </row>
    <row r="390" spans="18:19" ht="12.75">
      <c r="R390" s="4"/>
      <c r="S390" s="4"/>
    </row>
    <row r="391" spans="18:19" ht="12.75">
      <c r="R391" s="4"/>
      <c r="S391" s="4"/>
    </row>
    <row r="392" spans="18:19" ht="12.75">
      <c r="R392" s="4"/>
      <c r="S392" s="4"/>
    </row>
    <row r="393" spans="18:19" ht="12.75">
      <c r="R393" s="4"/>
      <c r="S393" s="4"/>
    </row>
    <row r="394" spans="18:19" ht="12.75">
      <c r="R394" s="4"/>
      <c r="S394" s="4"/>
    </row>
    <row r="395" spans="18:19" ht="12.75">
      <c r="R395" s="4"/>
      <c r="S395" s="4"/>
    </row>
    <row r="396" spans="18:19" ht="12.75">
      <c r="R396" s="4"/>
      <c r="S396" s="4"/>
    </row>
    <row r="397" spans="18:19" ht="12.75">
      <c r="R397" s="4"/>
      <c r="S397" s="4"/>
    </row>
    <row r="398" spans="18:19" ht="12.75">
      <c r="R398" s="4"/>
      <c r="S398" s="4"/>
    </row>
    <row r="399" spans="18:19" ht="12.75">
      <c r="R399" s="4"/>
      <c r="S399" s="4"/>
    </row>
    <row r="400" spans="18:19" ht="12.75">
      <c r="R400" s="4"/>
      <c r="S400" s="4"/>
    </row>
    <row r="401" spans="18:19" ht="12.75">
      <c r="R401" s="4"/>
      <c r="S401" s="4"/>
    </row>
    <row r="402" spans="18:19" ht="12.75">
      <c r="R402" s="4"/>
      <c r="S402" s="4"/>
    </row>
    <row r="403" spans="18:19" ht="12.75">
      <c r="R403" s="4"/>
      <c r="S403" s="4"/>
    </row>
    <row r="404" spans="18:19" ht="12.75">
      <c r="R404" s="4"/>
      <c r="S404" s="4"/>
    </row>
    <row r="405" spans="18:19" ht="12.75">
      <c r="R405" s="4"/>
      <c r="S405" s="4"/>
    </row>
    <row r="406" spans="18:19" ht="12.75">
      <c r="R406" s="4"/>
      <c r="S406" s="4"/>
    </row>
    <row r="407" spans="18:19" ht="12.75">
      <c r="R407" s="4"/>
      <c r="S407" s="4"/>
    </row>
    <row r="408" spans="18:19" ht="12.75">
      <c r="R408" s="4"/>
      <c r="S408" s="4"/>
    </row>
    <row r="409" spans="18:19" ht="12.75">
      <c r="R409" s="4"/>
      <c r="S409" s="4"/>
    </row>
    <row r="410" spans="18:19" ht="12.75">
      <c r="R410" s="4"/>
      <c r="S410" s="4"/>
    </row>
    <row r="411" spans="18:19" ht="12.75">
      <c r="R411" s="4"/>
      <c r="S411" s="4"/>
    </row>
    <row r="412" spans="18:19" ht="12.75">
      <c r="R412" s="4"/>
      <c r="S412" s="4"/>
    </row>
    <row r="413" spans="18:19" ht="12.75">
      <c r="R413" s="4"/>
      <c r="S413" s="4"/>
    </row>
    <row r="414" spans="18:19" ht="12.75">
      <c r="R414" s="4"/>
      <c r="S414" s="4"/>
    </row>
    <row r="415" spans="18:19" ht="12.75">
      <c r="R415" s="4"/>
      <c r="S415" s="4"/>
    </row>
    <row r="416" spans="18:19" ht="12.75">
      <c r="R416" s="4"/>
      <c r="S416" s="4"/>
    </row>
    <row r="417" spans="18:19" ht="12.75">
      <c r="R417" s="4"/>
      <c r="S417" s="4"/>
    </row>
    <row r="418" spans="18:19" ht="12.75">
      <c r="R418" s="4"/>
      <c r="S418" s="4"/>
    </row>
    <row r="419" spans="18:19" ht="12.75">
      <c r="R419" s="4"/>
      <c r="S419" s="4"/>
    </row>
    <row r="420" spans="18:19" ht="12.75">
      <c r="R420" s="4"/>
      <c r="S420" s="4"/>
    </row>
    <row r="421" spans="18:19" ht="12.75">
      <c r="R421" s="4"/>
      <c r="S421" s="4"/>
    </row>
    <row r="422" spans="18:19" ht="12.75">
      <c r="R422" s="4"/>
      <c r="S422" s="4"/>
    </row>
    <row r="423" spans="18:19" ht="12.75">
      <c r="R423" s="4"/>
      <c r="S423" s="4"/>
    </row>
    <row r="424" spans="18:19" ht="12.75">
      <c r="R424" s="4"/>
      <c r="S424" s="4"/>
    </row>
    <row r="425" spans="18:19" ht="12.75">
      <c r="R425" s="4"/>
      <c r="S425" s="4"/>
    </row>
    <row r="426" spans="18:19" ht="12.75">
      <c r="R426" s="4"/>
      <c r="S426" s="4"/>
    </row>
    <row r="427" spans="18:19" ht="12.75">
      <c r="R427" s="4"/>
      <c r="S427" s="4"/>
    </row>
    <row r="428" spans="18:19" ht="12.75">
      <c r="R428" s="4"/>
      <c r="S428" s="4"/>
    </row>
    <row r="429" spans="18:19" ht="12.75">
      <c r="R429" s="4"/>
      <c r="S429" s="4"/>
    </row>
    <row r="430" spans="18:19" ht="12.75">
      <c r="R430" s="4"/>
      <c r="S430" s="4"/>
    </row>
    <row r="431" spans="18:19" ht="12.75">
      <c r="R431" s="4"/>
      <c r="S431" s="4"/>
    </row>
    <row r="432" spans="18:19" ht="12.75">
      <c r="R432" s="4"/>
      <c r="S432" s="4"/>
    </row>
    <row r="433" spans="18:19" ht="12.75">
      <c r="R433" s="4"/>
      <c r="S433" s="4"/>
    </row>
    <row r="434" spans="18:19" ht="12.75">
      <c r="R434" s="4"/>
      <c r="S434" s="4"/>
    </row>
    <row r="435" spans="18:19" ht="12.75">
      <c r="R435" s="4"/>
      <c r="S435" s="4"/>
    </row>
    <row r="436" spans="18:19" ht="12.75">
      <c r="R436" s="4"/>
      <c r="S436" s="4"/>
    </row>
    <row r="437" spans="18:19" ht="12.75">
      <c r="R437" s="4"/>
      <c r="S437" s="4"/>
    </row>
    <row r="438" spans="18:19" ht="12.75">
      <c r="R438" s="4"/>
      <c r="S438" s="4"/>
    </row>
    <row r="439" spans="18:19" ht="12.75">
      <c r="R439" s="4"/>
      <c r="S439" s="4"/>
    </row>
    <row r="440" spans="18:19" ht="12.75">
      <c r="R440" s="4"/>
      <c r="S440" s="4"/>
    </row>
    <row r="441" spans="18:19" ht="12.75">
      <c r="R441" s="4"/>
      <c r="S441" s="4"/>
    </row>
    <row r="442" spans="18:19" ht="12.75">
      <c r="R442" s="4"/>
      <c r="S442" s="4"/>
    </row>
    <row r="443" spans="18:19" ht="12.75">
      <c r="R443" s="4"/>
      <c r="S443" s="4"/>
    </row>
    <row r="444" spans="18:19" ht="12.75">
      <c r="R444" s="4"/>
      <c r="S444" s="4"/>
    </row>
    <row r="445" spans="18:19" ht="12.75">
      <c r="R445" s="4"/>
      <c r="S445" s="4"/>
    </row>
    <row r="446" spans="18:19" ht="12.75">
      <c r="R446" s="4"/>
      <c r="S446" s="4"/>
    </row>
    <row r="447" spans="18:19" ht="12.75">
      <c r="R447" s="4"/>
      <c r="S447" s="4"/>
    </row>
    <row r="448" spans="18:19" ht="12.75">
      <c r="R448" s="4"/>
      <c r="S448" s="4"/>
    </row>
    <row r="449" spans="18:19" ht="12.75">
      <c r="R449" s="4"/>
      <c r="S449" s="4"/>
    </row>
    <row r="450" spans="18:19" ht="12.75">
      <c r="R450" s="4"/>
      <c r="S450" s="4"/>
    </row>
    <row r="451" spans="18:19" ht="12.75">
      <c r="R451" s="4"/>
      <c r="S451" s="4"/>
    </row>
    <row r="452" spans="18:19" ht="12.75">
      <c r="R452" s="4"/>
      <c r="S452" s="4"/>
    </row>
    <row r="453" spans="18:19" ht="12.75">
      <c r="R453" s="4"/>
      <c r="S453" s="4"/>
    </row>
    <row r="454" spans="18:19" ht="12.75">
      <c r="R454" s="4"/>
      <c r="S454" s="4"/>
    </row>
    <row r="455" spans="18:19" ht="12.75">
      <c r="R455" s="4"/>
      <c r="S455" s="4"/>
    </row>
    <row r="456" spans="18:19" ht="12.75">
      <c r="R456" s="4"/>
      <c r="S456" s="4"/>
    </row>
    <row r="457" spans="18:19" ht="12.75">
      <c r="R457" s="4"/>
      <c r="S457" s="4"/>
    </row>
    <row r="458" spans="18:19" ht="12.75">
      <c r="R458" s="4"/>
      <c r="S458" s="4"/>
    </row>
    <row r="459" spans="18:19" ht="12.75">
      <c r="R459" s="4"/>
      <c r="S459" s="4"/>
    </row>
    <row r="460" spans="18:19" ht="12.75">
      <c r="R460" s="4"/>
      <c r="S460" s="4"/>
    </row>
    <row r="461" spans="18:19" ht="12.75">
      <c r="R461" s="4"/>
      <c r="S461" s="4"/>
    </row>
    <row r="462" spans="18:19" ht="12.75">
      <c r="R462" s="4"/>
      <c r="S462" s="4"/>
    </row>
    <row r="463" spans="18:19" ht="12.75">
      <c r="R463" s="4"/>
      <c r="S463" s="4"/>
    </row>
    <row r="464" spans="18:19" ht="12.75">
      <c r="R464" s="4"/>
      <c r="S464" s="4"/>
    </row>
    <row r="465" spans="18:19" ht="12.75">
      <c r="R465" s="4"/>
      <c r="S465" s="4"/>
    </row>
    <row r="466" spans="18:19" ht="12.75">
      <c r="R466" s="4"/>
      <c r="S466" s="4"/>
    </row>
    <row r="467" spans="18:19" ht="12.75">
      <c r="R467" s="4"/>
      <c r="S467" s="4"/>
    </row>
    <row r="468" spans="18:19" ht="12.75">
      <c r="R468" s="4"/>
      <c r="S468" s="4"/>
    </row>
    <row r="469" spans="18:19" ht="12.75">
      <c r="R469" s="4"/>
      <c r="S469" s="4"/>
    </row>
    <row r="470" spans="18:19" ht="12.75">
      <c r="R470" s="4"/>
      <c r="S470" s="4"/>
    </row>
    <row r="471" spans="18:19" ht="12.75">
      <c r="R471" s="4"/>
      <c r="S471" s="4"/>
    </row>
    <row r="472" spans="18:19" ht="12.75">
      <c r="R472" s="4"/>
      <c r="S472" s="4"/>
    </row>
    <row r="473" spans="18:19" ht="12.75">
      <c r="R473" s="4"/>
      <c r="S473" s="4"/>
    </row>
    <row r="474" spans="18:19" ht="12.75">
      <c r="R474" s="4"/>
      <c r="S474" s="4"/>
    </row>
    <row r="475" spans="18:19" ht="12.75">
      <c r="R475" s="4"/>
      <c r="S475" s="4"/>
    </row>
    <row r="476" spans="18:19" ht="12.75">
      <c r="R476" s="4"/>
      <c r="S476" s="4"/>
    </row>
    <row r="477" spans="18:19" ht="12.75">
      <c r="R477" s="4"/>
      <c r="S477" s="4"/>
    </row>
    <row r="478" spans="18:19" ht="12.75">
      <c r="R478" s="4"/>
      <c r="S478" s="4"/>
    </row>
    <row r="479" spans="18:19" ht="12.75">
      <c r="R479" s="4"/>
      <c r="S479" s="4"/>
    </row>
    <row r="480" spans="18:19" ht="12.75">
      <c r="R480" s="4"/>
      <c r="S480" s="4"/>
    </row>
    <row r="481" spans="18:19" ht="12.75">
      <c r="R481" s="4"/>
      <c r="S481" s="4"/>
    </row>
    <row r="482" spans="18:19" ht="12.75">
      <c r="R482" s="4"/>
      <c r="S482" s="4"/>
    </row>
    <row r="483" spans="18:19" ht="12.75">
      <c r="R483" s="4"/>
      <c r="S483" s="4"/>
    </row>
    <row r="484" spans="18:19" ht="12.75">
      <c r="R484" s="4"/>
      <c r="S484" s="4"/>
    </row>
    <row r="485" spans="18:19" ht="12.75">
      <c r="R485" s="4"/>
      <c r="S485" s="4"/>
    </row>
    <row r="486" spans="18:19" ht="12.75">
      <c r="R486" s="4"/>
      <c r="S486" s="4"/>
    </row>
    <row r="487" spans="18:19" ht="12.75">
      <c r="R487" s="4"/>
      <c r="S487" s="4"/>
    </row>
    <row r="488" spans="18:19" ht="12.75">
      <c r="R488" s="4"/>
      <c r="S488" s="4"/>
    </row>
    <row r="489" spans="18:19" ht="12.75">
      <c r="R489" s="4"/>
      <c r="S489" s="4"/>
    </row>
    <row r="490" spans="18:19" ht="12.75">
      <c r="R490" s="4"/>
      <c r="S490" s="4"/>
    </row>
    <row r="491" spans="18:19" ht="12.75">
      <c r="R491" s="4"/>
      <c r="S491" s="4"/>
    </row>
    <row r="492" spans="18:19" ht="12.75">
      <c r="R492" s="4"/>
      <c r="S492" s="4"/>
    </row>
    <row r="493" spans="18:19" ht="12.75">
      <c r="R493" s="4"/>
      <c r="S493" s="4"/>
    </row>
    <row r="494" spans="18:19" ht="12.75">
      <c r="R494" s="4"/>
      <c r="S494" s="4"/>
    </row>
    <row r="495" spans="18:19" ht="12.75">
      <c r="R495" s="4"/>
      <c r="S495" s="4"/>
    </row>
    <row r="496" spans="18:19" ht="12.75">
      <c r="R496" s="4"/>
      <c r="S496" s="4"/>
    </row>
    <row r="497" spans="18:19" ht="12.75">
      <c r="R497" s="4"/>
      <c r="S497" s="4"/>
    </row>
    <row r="498" spans="18:19" ht="12.75">
      <c r="R498" s="4"/>
      <c r="S498" s="4"/>
    </row>
    <row r="499" spans="18:19" ht="12.75">
      <c r="R499" s="4"/>
      <c r="S499" s="4"/>
    </row>
    <row r="500" spans="18:19" ht="12.75">
      <c r="R500" s="4"/>
      <c r="S500" s="4"/>
    </row>
    <row r="501" spans="18:19" ht="12.75">
      <c r="R501" s="4"/>
      <c r="S501" s="4"/>
    </row>
    <row r="502" spans="18:19" ht="12.75">
      <c r="R502" s="4"/>
      <c r="S502" s="4"/>
    </row>
    <row r="503" spans="18:19" ht="12.75">
      <c r="R503" s="4"/>
      <c r="S503" s="4"/>
    </row>
    <row r="504" spans="18:19" ht="12.75">
      <c r="R504" s="4"/>
      <c r="S504" s="4"/>
    </row>
    <row r="505" spans="18:19" ht="12.75">
      <c r="R505" s="4"/>
      <c r="S505" s="4"/>
    </row>
    <row r="506" spans="18:19" ht="12.75">
      <c r="R506" s="4"/>
      <c r="S506" s="4"/>
    </row>
    <row r="507" spans="18:19" ht="12.75">
      <c r="R507" s="4"/>
      <c r="S507" s="4"/>
    </row>
    <row r="508" spans="18:19" ht="12.75">
      <c r="R508" s="4"/>
      <c r="S508" s="4"/>
    </row>
    <row r="509" spans="18:19" ht="12.75">
      <c r="R509" s="4"/>
      <c r="S509" s="4"/>
    </row>
    <row r="510" spans="18:19" ht="12.75">
      <c r="R510" s="4"/>
      <c r="S510" s="4"/>
    </row>
    <row r="511" spans="18:19" ht="12.75">
      <c r="R511" s="4"/>
      <c r="S511" s="4"/>
    </row>
    <row r="512" spans="18:19" ht="12.75">
      <c r="R512" s="4"/>
      <c r="S512" s="4"/>
    </row>
    <row r="513" spans="18:19" ht="12.75">
      <c r="R513" s="4"/>
      <c r="S513" s="4"/>
    </row>
    <row r="514" spans="18:19" ht="12.75">
      <c r="R514" s="4"/>
      <c r="S514" s="4"/>
    </row>
    <row r="515" spans="18:19" ht="12.75">
      <c r="R515" s="4"/>
      <c r="S515" s="4"/>
    </row>
    <row r="516" spans="18:19" ht="12.75">
      <c r="R516" s="4"/>
      <c r="S516" s="4"/>
    </row>
    <row r="517" spans="18:19" ht="12.75">
      <c r="R517" s="4"/>
      <c r="S517" s="4"/>
    </row>
    <row r="518" spans="18:19" ht="12.75">
      <c r="R518" s="4"/>
      <c r="S518" s="4"/>
    </row>
    <row r="519" spans="18:19" ht="12.75">
      <c r="R519" s="4"/>
      <c r="S519" s="4"/>
    </row>
    <row r="520" spans="18:19" ht="12.75">
      <c r="R520" s="4"/>
      <c r="S520" s="4"/>
    </row>
    <row r="521" spans="18:19" ht="12.75">
      <c r="R521" s="4"/>
      <c r="S521" s="4"/>
    </row>
    <row r="522" spans="18:19" ht="12.75">
      <c r="R522" s="4"/>
      <c r="S522" s="4"/>
    </row>
    <row r="523" spans="18:19" ht="12.75">
      <c r="R523" s="4"/>
      <c r="S523" s="4"/>
    </row>
    <row r="524" spans="18:19" ht="12.75">
      <c r="R524" s="4"/>
      <c r="S524" s="4"/>
    </row>
    <row r="525" spans="18:19" ht="12.75">
      <c r="R525" s="4"/>
      <c r="S525" s="4"/>
    </row>
    <row r="526" spans="18:19" ht="12.75">
      <c r="R526" s="4"/>
      <c r="S526" s="4"/>
    </row>
    <row r="527" spans="18:19" ht="12.75">
      <c r="R527" s="4"/>
      <c r="S527" s="4"/>
    </row>
    <row r="528" spans="18:19" ht="12.75">
      <c r="R528" s="4"/>
      <c r="S528" s="4"/>
    </row>
    <row r="529" spans="18:19" ht="12.75">
      <c r="R529" s="4"/>
      <c r="S529" s="4"/>
    </row>
    <row r="530" spans="18:19" ht="12.75">
      <c r="R530" s="4"/>
      <c r="S530" s="4"/>
    </row>
    <row r="531" spans="18:19" ht="12.75">
      <c r="R531" s="4"/>
      <c r="S531" s="4"/>
    </row>
    <row r="532" spans="18:19" ht="12.75">
      <c r="R532" s="4"/>
      <c r="S532" s="4"/>
    </row>
    <row r="533" spans="18:19" ht="12.75">
      <c r="R533" s="4"/>
      <c r="S533" s="4"/>
    </row>
    <row r="534" spans="18:19" ht="12.75">
      <c r="R534" s="4"/>
      <c r="S534" s="4"/>
    </row>
    <row r="535" spans="18:19" ht="12.75">
      <c r="R535" s="4"/>
      <c r="S535" s="4"/>
    </row>
    <row r="536" spans="18:19" ht="12.75">
      <c r="R536" s="4"/>
      <c r="S536" s="4"/>
    </row>
    <row r="537" spans="18:19" ht="12.75">
      <c r="R537" s="4"/>
      <c r="S537" s="4"/>
    </row>
    <row r="538" spans="18:19" ht="12.75">
      <c r="R538" s="4"/>
      <c r="S538" s="4"/>
    </row>
    <row r="539" spans="18:19" ht="12.75">
      <c r="R539" s="4"/>
      <c r="S539" s="4"/>
    </row>
    <row r="540" spans="18:19" ht="12.75">
      <c r="R540" s="4"/>
      <c r="S540" s="4"/>
    </row>
    <row r="541" spans="18:19" ht="12.75">
      <c r="R541" s="4"/>
      <c r="S541" s="4"/>
    </row>
    <row r="542" spans="18:19" ht="12.75">
      <c r="R542" s="4"/>
      <c r="S542" s="4"/>
    </row>
    <row r="543" spans="18:19" ht="12.75">
      <c r="R543" s="4"/>
      <c r="S543" s="4"/>
    </row>
    <row r="544" spans="18:19" ht="12.75">
      <c r="R544" s="4"/>
      <c r="S544" s="4"/>
    </row>
    <row r="545" spans="18:19" ht="12.75">
      <c r="R545" s="4"/>
      <c r="S545" s="4"/>
    </row>
    <row r="546" spans="18:19" ht="12.75">
      <c r="R546" s="4"/>
      <c r="S546" s="4"/>
    </row>
    <row r="547" spans="18:19" ht="12.75">
      <c r="R547" s="4"/>
      <c r="S547" s="4"/>
    </row>
    <row r="548" spans="18:19" ht="12.75">
      <c r="R548" s="4"/>
      <c r="S548" s="4"/>
    </row>
    <row r="549" spans="18:19" ht="12.75">
      <c r="R549" s="4"/>
      <c r="S549" s="4"/>
    </row>
    <row r="550" spans="18:19" ht="12.75">
      <c r="R550" s="4"/>
      <c r="S550" s="4"/>
    </row>
    <row r="551" spans="18:19" ht="12.75">
      <c r="R551" s="4"/>
      <c r="S551" s="4"/>
    </row>
    <row r="552" spans="18:19" ht="12.75">
      <c r="R552" s="4"/>
      <c r="S552" s="4"/>
    </row>
    <row r="553" spans="18:19" ht="12.75">
      <c r="R553" s="4"/>
      <c r="S553" s="4"/>
    </row>
    <row r="554" spans="18:19" ht="12.75">
      <c r="R554" s="4"/>
      <c r="S554" s="4"/>
    </row>
    <row r="555" spans="18:19" ht="12.75">
      <c r="R555" s="4"/>
      <c r="S555" s="4"/>
    </row>
    <row r="556" spans="18:19" ht="12.75">
      <c r="R556" s="4"/>
      <c r="S556" s="4"/>
    </row>
    <row r="557" spans="18:19" ht="12.75">
      <c r="R557" s="4"/>
      <c r="S557" s="4"/>
    </row>
    <row r="558" spans="18:19" ht="12.75">
      <c r="R558" s="4"/>
      <c r="S558" s="4"/>
    </row>
    <row r="559" spans="18:19" ht="12.75">
      <c r="R559" s="4"/>
      <c r="S559" s="4"/>
    </row>
    <row r="560" spans="18:19" ht="12.75">
      <c r="R560" s="4"/>
      <c r="S560" s="4"/>
    </row>
    <row r="561" spans="18:19" ht="12.75">
      <c r="R561" s="4"/>
      <c r="S561" s="4"/>
    </row>
    <row r="562" spans="18:19" ht="12.75">
      <c r="R562" s="4"/>
      <c r="S562" s="4"/>
    </row>
    <row r="563" spans="18:19" ht="12.75">
      <c r="R563" s="4"/>
      <c r="S563" s="4"/>
    </row>
    <row r="564" spans="18:19" ht="12.75">
      <c r="R564" s="4"/>
      <c r="S564" s="4"/>
    </row>
    <row r="565" spans="18:19" ht="12.75">
      <c r="R565" s="4"/>
      <c r="S565" s="4"/>
    </row>
    <row r="566" spans="18:19" ht="12.75">
      <c r="R566" s="4"/>
      <c r="S566" s="4"/>
    </row>
    <row r="567" spans="18:19" ht="12.75">
      <c r="R567" s="4"/>
      <c r="S567" s="4"/>
    </row>
    <row r="568" spans="18:19" ht="12.75">
      <c r="R568" s="4"/>
      <c r="S568" s="4"/>
    </row>
    <row r="569" spans="18:19" ht="12.75">
      <c r="R569" s="4"/>
      <c r="S569" s="4"/>
    </row>
    <row r="570" spans="18:19" ht="12.75">
      <c r="R570" s="4"/>
      <c r="S570" s="4"/>
    </row>
    <row r="571" spans="18:19" ht="12.75">
      <c r="R571" s="4"/>
      <c r="S571" s="4"/>
    </row>
    <row r="572" spans="18:19" ht="12.75">
      <c r="R572" s="4"/>
      <c r="S572" s="4"/>
    </row>
    <row r="573" spans="18:19" ht="12.75">
      <c r="R573" s="4"/>
      <c r="S573" s="4"/>
    </row>
    <row r="574" spans="18:19" ht="12.75">
      <c r="R574" s="4"/>
      <c r="S574" s="4"/>
    </row>
    <row r="575" spans="18:19" ht="12.75">
      <c r="R575" s="4"/>
      <c r="S575" s="4"/>
    </row>
    <row r="576" spans="18:19" ht="12.75">
      <c r="R576" s="4"/>
      <c r="S576" s="4"/>
    </row>
    <row r="577" spans="18:19" ht="12.75">
      <c r="R577" s="4"/>
      <c r="S577" s="4"/>
    </row>
    <row r="578" spans="18:19" ht="12.75">
      <c r="R578" s="4"/>
      <c r="S578" s="4"/>
    </row>
    <row r="579" spans="18:19" ht="12.75">
      <c r="R579" s="4"/>
      <c r="S579" s="4"/>
    </row>
    <row r="580" spans="18:19" ht="12.75">
      <c r="R580" s="4"/>
      <c r="S580" s="4"/>
    </row>
    <row r="581" spans="18:19" ht="12.75">
      <c r="R581" s="4"/>
      <c r="S581" s="4"/>
    </row>
    <row r="582" spans="18:19" ht="12.75">
      <c r="R582" s="4"/>
      <c r="S582" s="4"/>
    </row>
    <row r="583" spans="18:19" ht="12.75">
      <c r="R583" s="4"/>
      <c r="S583" s="4"/>
    </row>
    <row r="584" spans="18:19" ht="12.75">
      <c r="R584" s="4"/>
      <c r="S584" s="4"/>
    </row>
    <row r="585" spans="18:19" ht="12.75">
      <c r="R585" s="4"/>
      <c r="S585" s="4"/>
    </row>
    <row r="586" spans="18:19" ht="12.75">
      <c r="R586" s="4"/>
      <c r="S586" s="4"/>
    </row>
    <row r="587" spans="18:19" ht="12.75">
      <c r="R587" s="4"/>
      <c r="S587" s="4"/>
    </row>
    <row r="588" spans="18:19" ht="12.75">
      <c r="R588" s="4"/>
      <c r="S588" s="4"/>
    </row>
    <row r="589" spans="18:19" ht="12.75">
      <c r="R589" s="4"/>
      <c r="S589" s="4"/>
    </row>
    <row r="590" spans="18:19" ht="12.75">
      <c r="R590" s="4"/>
      <c r="S590" s="4"/>
    </row>
    <row r="591" spans="18:19" ht="12.75">
      <c r="R591" s="4"/>
      <c r="S591" s="4"/>
    </row>
    <row r="592" spans="18:19" ht="12.75">
      <c r="R592" s="4"/>
      <c r="S592" s="4"/>
    </row>
    <row r="593" spans="18:19" ht="12.75">
      <c r="R593" s="4"/>
      <c r="S593" s="4"/>
    </row>
    <row r="594" spans="18:19" ht="12.75">
      <c r="R594" s="4"/>
      <c r="S594" s="4"/>
    </row>
    <row r="595" spans="18:19" ht="12.75">
      <c r="R595" s="4"/>
      <c r="S595" s="4"/>
    </row>
    <row r="596" spans="18:19" ht="12.75">
      <c r="R596" s="4"/>
      <c r="S596" s="4"/>
    </row>
    <row r="597" spans="18:19" ht="12.75">
      <c r="R597" s="4"/>
      <c r="S597" s="4"/>
    </row>
    <row r="598" spans="18:19" ht="12.75">
      <c r="R598" s="4"/>
      <c r="S598" s="4"/>
    </row>
    <row r="599" spans="18:19" ht="12.75">
      <c r="R599" s="4"/>
      <c r="S599" s="4"/>
    </row>
    <row r="600" spans="18:19" ht="12.75">
      <c r="R600" s="4"/>
      <c r="S600" s="4"/>
    </row>
    <row r="601" spans="18:19" ht="12.75">
      <c r="R601" s="4"/>
      <c r="S601" s="4"/>
    </row>
    <row r="602" spans="18:19" ht="12.75">
      <c r="R602" s="4"/>
      <c r="S602" s="4"/>
    </row>
    <row r="603" spans="18:19" ht="12.75">
      <c r="R603" s="4"/>
      <c r="S603" s="4"/>
    </row>
    <row r="604" spans="18:19" ht="12.75">
      <c r="R604" s="4"/>
      <c r="S604" s="4"/>
    </row>
    <row r="605" spans="18:19" ht="12.75">
      <c r="R605" s="4"/>
      <c r="S605" s="4"/>
    </row>
    <row r="606" spans="18:19" ht="12.75">
      <c r="R606" s="4"/>
      <c r="S606" s="4"/>
    </row>
    <row r="607" spans="18:19" ht="12.75">
      <c r="R607" s="4"/>
      <c r="S607" s="4"/>
    </row>
    <row r="608" spans="18:19" ht="12.75">
      <c r="R608" s="4"/>
      <c r="S608" s="4"/>
    </row>
    <row r="609" spans="18:19" ht="12.75">
      <c r="R609" s="4"/>
      <c r="S609" s="4"/>
    </row>
    <row r="610" spans="18:19" ht="12.75">
      <c r="R610" s="4"/>
      <c r="S610" s="4"/>
    </row>
    <row r="611" spans="18:19" ht="12.75">
      <c r="R611" s="4"/>
      <c r="S611" s="4"/>
    </row>
    <row r="612" spans="18:19" ht="12.75">
      <c r="R612" s="4"/>
      <c r="S612" s="4"/>
    </row>
    <row r="613" spans="18:19" ht="12.75">
      <c r="R613" s="4"/>
      <c r="S613" s="4"/>
    </row>
    <row r="614" spans="18:19" ht="12.75">
      <c r="R614" s="4"/>
      <c r="S614" s="4"/>
    </row>
    <row r="615" spans="18:19" ht="12.75">
      <c r="R615" s="4"/>
      <c r="S615" s="4"/>
    </row>
    <row r="616" spans="18:19" ht="12.75">
      <c r="R616" s="4"/>
      <c r="S616" s="4"/>
    </row>
    <row r="617" spans="18:19" ht="12.75">
      <c r="R617" s="4"/>
      <c r="S617" s="4"/>
    </row>
    <row r="618" spans="18:19" ht="12.75">
      <c r="R618" s="4"/>
      <c r="S618" s="4"/>
    </row>
    <row r="619" spans="18:19" ht="12.75">
      <c r="R619" s="4"/>
      <c r="S619" s="4"/>
    </row>
    <row r="620" spans="18:19" ht="12.75">
      <c r="R620" s="4"/>
      <c r="S620" s="4"/>
    </row>
    <row r="621" spans="18:19" ht="12.75">
      <c r="R621" s="4"/>
      <c r="S621" s="4"/>
    </row>
    <row r="622" spans="18:19" ht="12.75">
      <c r="R622" s="4"/>
      <c r="S622" s="4"/>
    </row>
    <row r="623" spans="18:19" ht="12.75">
      <c r="R623" s="4"/>
      <c r="S623" s="4"/>
    </row>
    <row r="624" spans="18:19" ht="12.75">
      <c r="R624" s="4"/>
      <c r="S624" s="4"/>
    </row>
    <row r="625" spans="18:19" ht="12.75">
      <c r="R625" s="4"/>
      <c r="S625" s="4"/>
    </row>
    <row r="626" spans="18:19" ht="12.75">
      <c r="R626" s="4"/>
      <c r="S626" s="4"/>
    </row>
    <row r="627" spans="18:19" ht="12.75">
      <c r="R627" s="4"/>
      <c r="S627" s="4"/>
    </row>
    <row r="628" spans="18:19" ht="12.75">
      <c r="R628" s="4"/>
      <c r="S628" s="4"/>
    </row>
    <row r="629" spans="18:19" ht="12.75">
      <c r="R629" s="4"/>
      <c r="S629" s="4"/>
    </row>
    <row r="630" spans="18:19" ht="12.75">
      <c r="R630" s="4"/>
      <c r="S630" s="4"/>
    </row>
    <row r="631" spans="18:19" ht="12.75">
      <c r="R631" s="4"/>
      <c r="S631" s="4"/>
    </row>
    <row r="632" spans="18:19" ht="12.75">
      <c r="R632" s="4"/>
      <c r="S632" s="4"/>
    </row>
    <row r="633" spans="18:19" ht="12.75">
      <c r="R633" s="4"/>
      <c r="S633" s="4"/>
    </row>
    <row r="634" spans="18:19" ht="12.75">
      <c r="R634" s="4"/>
      <c r="S634" s="4"/>
    </row>
    <row r="635" spans="18:19" ht="12.75">
      <c r="R635" s="4"/>
      <c r="S635" s="4"/>
    </row>
    <row r="636" spans="18:19" ht="12.75">
      <c r="R636" s="4"/>
      <c r="S636" s="4"/>
    </row>
    <row r="637" spans="18:19" ht="12.75">
      <c r="R637" s="4"/>
      <c r="S637" s="4"/>
    </row>
    <row r="638" spans="18:19" ht="12.75">
      <c r="R638" s="4"/>
      <c r="S638" s="4"/>
    </row>
    <row r="639" spans="18:19" ht="12.75">
      <c r="R639" s="4"/>
      <c r="S639" s="4"/>
    </row>
    <row r="640" spans="18:19" ht="12.75">
      <c r="R640" s="4"/>
      <c r="S640" s="4"/>
    </row>
    <row r="641" spans="18:19" ht="12.75">
      <c r="R641" s="4"/>
      <c r="S641" s="4"/>
    </row>
    <row r="642" spans="18:19" ht="12.75">
      <c r="R642" s="4"/>
      <c r="S642" s="4"/>
    </row>
    <row r="643" spans="18:19" ht="12.75">
      <c r="R643" s="4"/>
      <c r="S643" s="4"/>
    </row>
    <row r="644" spans="18:19" ht="12.75">
      <c r="R644" s="4"/>
      <c r="S644" s="4"/>
    </row>
    <row r="645" spans="18:19" ht="12.75">
      <c r="R645" s="4"/>
      <c r="S645" s="4"/>
    </row>
    <row r="646" spans="18:19" ht="12.75">
      <c r="R646" s="4"/>
      <c r="S646" s="4"/>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E10"/>
  <sheetViews>
    <sheetView zoomScale="75" zoomScaleNormal="75" zoomScalePageLayoutView="0" workbookViewId="0" topLeftCell="A1">
      <selection activeCell="D29" sqref="D29"/>
    </sheetView>
  </sheetViews>
  <sheetFormatPr defaultColWidth="9.140625" defaultRowHeight="12.75"/>
  <cols>
    <col min="1" max="1" width="15.421875" style="49" customWidth="1"/>
    <col min="2" max="3" width="8.421875" style="49" bestFit="1" customWidth="1"/>
    <col min="4" max="4" width="16.421875" style="49" bestFit="1" customWidth="1"/>
    <col min="5" max="5" width="10.421875" style="49" bestFit="1" customWidth="1"/>
    <col min="6" max="16384" width="9.140625" style="49" customWidth="1"/>
  </cols>
  <sheetData>
    <row r="1" spans="1:5" ht="12.75" thickBot="1">
      <c r="A1" s="74" t="s">
        <v>467</v>
      </c>
      <c r="B1" s="69"/>
      <c r="C1" s="47"/>
      <c r="D1" s="47"/>
      <c r="E1" s="48"/>
    </row>
    <row r="2" spans="1:5" ht="12.75" thickTop="1">
      <c r="A2" s="45"/>
      <c r="B2" s="47"/>
      <c r="C2" s="47"/>
      <c r="D2" s="47"/>
      <c r="E2" s="48"/>
    </row>
    <row r="3" spans="1:5" ht="12">
      <c r="A3" s="51" t="s">
        <v>169</v>
      </c>
      <c r="B3" s="72" t="s">
        <v>388</v>
      </c>
      <c r="C3" s="72" t="s">
        <v>389</v>
      </c>
      <c r="D3" s="72" t="s">
        <v>399</v>
      </c>
      <c r="E3" s="51" t="s">
        <v>366</v>
      </c>
    </row>
    <row r="4" spans="1:5" ht="12">
      <c r="A4" s="67" t="s">
        <v>469</v>
      </c>
      <c r="B4" s="70">
        <v>1</v>
      </c>
      <c r="C4" s="70"/>
      <c r="D4" s="70">
        <f aca="true" t="shared" si="0" ref="D4:D9">AVERAGE(B4:C4)</f>
        <v>1</v>
      </c>
      <c r="E4" s="71">
        <v>29</v>
      </c>
    </row>
    <row r="5" spans="1:5" ht="12">
      <c r="A5" s="67" t="s">
        <v>470</v>
      </c>
      <c r="B5" s="70">
        <v>2</v>
      </c>
      <c r="C5" s="70">
        <v>3</v>
      </c>
      <c r="D5" s="70">
        <f t="shared" si="0"/>
        <v>2.5</v>
      </c>
      <c r="E5" s="71" t="s">
        <v>474</v>
      </c>
    </row>
    <row r="6" spans="1:5" ht="12">
      <c r="A6" s="67" t="s">
        <v>471</v>
      </c>
      <c r="B6" s="70">
        <f>4.5*2.205</f>
        <v>9.9225</v>
      </c>
      <c r="C6" s="70"/>
      <c r="D6" s="70">
        <f t="shared" si="0"/>
        <v>9.9225</v>
      </c>
      <c r="E6" s="71">
        <v>29</v>
      </c>
    </row>
    <row r="7" spans="1:5" ht="12">
      <c r="A7" s="67" t="s">
        <v>134</v>
      </c>
      <c r="B7" s="70">
        <v>2.5</v>
      </c>
      <c r="C7" s="70">
        <v>1.442</v>
      </c>
      <c r="D7" s="70">
        <f t="shared" si="0"/>
        <v>1.971</v>
      </c>
      <c r="E7" s="71" t="s">
        <v>398</v>
      </c>
    </row>
    <row r="8" spans="1:5" ht="12">
      <c r="A8" s="67" t="s">
        <v>472</v>
      </c>
      <c r="B8" s="70">
        <v>1</v>
      </c>
      <c r="C8" s="70">
        <v>2</v>
      </c>
      <c r="D8" s="70">
        <f t="shared" si="0"/>
        <v>1.5</v>
      </c>
      <c r="E8" s="71" t="s">
        <v>474</v>
      </c>
    </row>
    <row r="9" spans="1:5" ht="12">
      <c r="A9" s="67" t="s">
        <v>473</v>
      </c>
      <c r="B9" s="70">
        <v>1.5</v>
      </c>
      <c r="C9" s="70"/>
      <c r="D9" s="70">
        <f t="shared" si="0"/>
        <v>1.5</v>
      </c>
      <c r="E9" s="71">
        <v>31</v>
      </c>
    </row>
    <row r="10" spans="1:5" ht="12">
      <c r="A10" s="67"/>
      <c r="B10" s="70"/>
      <c r="C10" s="70"/>
      <c r="D10" s="75"/>
      <c r="E10" s="71"/>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87"/>
  <sheetViews>
    <sheetView zoomScale="75" zoomScaleNormal="75" zoomScalePageLayoutView="0" workbookViewId="0" topLeftCell="A1">
      <selection activeCell="F27" sqref="F27"/>
    </sheetView>
  </sheetViews>
  <sheetFormatPr defaultColWidth="9.140625" defaultRowHeight="12.75"/>
  <cols>
    <col min="1" max="1" width="17.28125" style="1" bestFit="1" customWidth="1"/>
    <col min="2" max="2" width="9.140625" style="115" customWidth="1"/>
    <col min="3" max="3" width="10.140625" style="115" bestFit="1" customWidth="1"/>
    <col min="4" max="16384" width="9.140625" style="1" customWidth="1"/>
  </cols>
  <sheetData>
    <row r="1" ht="13.5" thickBot="1">
      <c r="A1" s="114" t="s">
        <v>400</v>
      </c>
    </row>
    <row r="2" ht="13.5" thickTop="1">
      <c r="F2" s="1" t="s">
        <v>412</v>
      </c>
    </row>
    <row r="3" spans="1:6" ht="13.5">
      <c r="A3" s="17" t="s">
        <v>405</v>
      </c>
      <c r="B3" s="116" t="s">
        <v>406</v>
      </c>
      <c r="C3" s="117"/>
      <c r="D3" s="11" t="s">
        <v>407</v>
      </c>
      <c r="E3" s="11"/>
      <c r="F3" s="1" t="s">
        <v>401</v>
      </c>
    </row>
    <row r="4" spans="1:6" ht="12.75">
      <c r="A4" s="5" t="s">
        <v>206</v>
      </c>
      <c r="B4" s="115">
        <v>0.9</v>
      </c>
      <c r="D4" s="115">
        <f>AVERAGE(B4:C4)</f>
        <v>0.9</v>
      </c>
      <c r="F4" s="1" t="s">
        <v>402</v>
      </c>
    </row>
    <row r="5" spans="2:6" ht="12.75">
      <c r="B5" s="115">
        <v>0.25</v>
      </c>
      <c r="C5" s="115">
        <v>0.54</v>
      </c>
      <c r="D5" s="115">
        <f aca="true" t="shared" si="0" ref="D5:D68">AVERAGE(B5:C5)</f>
        <v>0.395</v>
      </c>
      <c r="F5" s="1" t="s">
        <v>403</v>
      </c>
    </row>
    <row r="6" spans="2:6" ht="12.75">
      <c r="B6" s="115">
        <v>0.9</v>
      </c>
      <c r="D6" s="115">
        <f t="shared" si="0"/>
        <v>0.9</v>
      </c>
      <c r="F6" s="1" t="s">
        <v>404</v>
      </c>
    </row>
    <row r="7" spans="2:4" ht="12.75">
      <c r="B7" s="115">
        <v>0.25</v>
      </c>
      <c r="C7" s="115">
        <v>0.54</v>
      </c>
      <c r="D7" s="115">
        <f t="shared" si="0"/>
        <v>0.395</v>
      </c>
    </row>
    <row r="8" spans="2:4" ht="12.75">
      <c r="B8" s="115">
        <v>0.45</v>
      </c>
      <c r="D8" s="115">
        <f t="shared" si="0"/>
        <v>0.45</v>
      </c>
    </row>
    <row r="9" spans="2:4" ht="12.75">
      <c r="B9" s="115">
        <v>0.31</v>
      </c>
      <c r="D9" s="115">
        <f t="shared" si="0"/>
        <v>0.31</v>
      </c>
    </row>
    <row r="10" spans="2:4" ht="12.75">
      <c r="B10" s="115">
        <v>0.36</v>
      </c>
      <c r="D10" s="115">
        <f t="shared" si="0"/>
        <v>0.36</v>
      </c>
    </row>
    <row r="11" spans="2:4" ht="12.75">
      <c r="B11" s="115">
        <v>0.6</v>
      </c>
      <c r="D11" s="115">
        <f t="shared" si="0"/>
        <v>0.6</v>
      </c>
    </row>
    <row r="12" spans="2:4" ht="12.75">
      <c r="B12" s="115">
        <v>0.09</v>
      </c>
      <c r="C12" s="115">
        <v>0.31</v>
      </c>
      <c r="D12" s="115">
        <f t="shared" si="0"/>
        <v>0.2</v>
      </c>
    </row>
    <row r="13" spans="2:4" ht="12.75">
      <c r="B13" s="115">
        <v>0.09</v>
      </c>
      <c r="C13" s="115">
        <v>0.31</v>
      </c>
      <c r="D13" s="115">
        <f t="shared" si="0"/>
        <v>0.2</v>
      </c>
    </row>
    <row r="14" spans="2:4" ht="12.75">
      <c r="B14" s="115">
        <v>0.45</v>
      </c>
      <c r="C14" s="115">
        <v>1</v>
      </c>
      <c r="D14" s="115">
        <f t="shared" si="0"/>
        <v>0.725</v>
      </c>
    </row>
    <row r="15" spans="2:4" ht="12.75">
      <c r="B15" s="115">
        <v>0.9</v>
      </c>
      <c r="C15" s="115">
        <v>1</v>
      </c>
      <c r="D15" s="115">
        <f t="shared" si="0"/>
        <v>0.95</v>
      </c>
    </row>
    <row r="16" spans="2:4" ht="12.75">
      <c r="B16" s="115">
        <v>0.25</v>
      </c>
      <c r="D16" s="115">
        <f t="shared" si="0"/>
        <v>0.25</v>
      </c>
    </row>
    <row r="17" spans="2:4" ht="12.75">
      <c r="B17" s="115">
        <v>0.32</v>
      </c>
      <c r="C17" s="115">
        <v>0.5</v>
      </c>
      <c r="D17" s="115">
        <f t="shared" si="0"/>
        <v>0.41000000000000003</v>
      </c>
    </row>
    <row r="18" spans="2:4" ht="12.75">
      <c r="B18" s="115">
        <v>0.32</v>
      </c>
      <c r="C18" s="115">
        <v>0.5</v>
      </c>
      <c r="D18" s="115">
        <f t="shared" si="0"/>
        <v>0.41000000000000003</v>
      </c>
    </row>
    <row r="19" spans="2:4" ht="12.75">
      <c r="B19" s="115">
        <v>0.1</v>
      </c>
      <c r="C19" s="115">
        <v>0.5</v>
      </c>
      <c r="D19" s="115">
        <f t="shared" si="0"/>
        <v>0.3</v>
      </c>
    </row>
    <row r="20" spans="2:4" ht="12.75">
      <c r="B20" s="115">
        <v>0.02</v>
      </c>
      <c r="C20" s="115">
        <v>0.14</v>
      </c>
      <c r="D20" s="115">
        <f t="shared" si="0"/>
        <v>0.08</v>
      </c>
    </row>
    <row r="21" spans="2:4" ht="12.75">
      <c r="B21" s="115">
        <v>0.1</v>
      </c>
      <c r="C21" s="115">
        <v>0.5</v>
      </c>
      <c r="D21" s="115">
        <f t="shared" si="0"/>
        <v>0.3</v>
      </c>
    </row>
    <row r="22" spans="2:4" ht="12.75">
      <c r="B22" s="115">
        <v>1</v>
      </c>
      <c r="D22" s="115">
        <f t="shared" si="0"/>
        <v>1</v>
      </c>
    </row>
    <row r="23" spans="2:4" ht="12.75">
      <c r="B23" s="115">
        <v>0.5</v>
      </c>
      <c r="D23" s="115">
        <f t="shared" si="0"/>
        <v>0.5</v>
      </c>
    </row>
    <row r="24" spans="2:4" ht="12.75">
      <c r="B24" s="115">
        <v>0.1</v>
      </c>
      <c r="C24" s="115">
        <v>0.42</v>
      </c>
      <c r="D24" s="115">
        <f t="shared" si="0"/>
        <v>0.26</v>
      </c>
    </row>
    <row r="25" spans="2:4" ht="12.75">
      <c r="B25" s="115">
        <v>0.5</v>
      </c>
      <c r="C25" s="115">
        <v>1</v>
      </c>
      <c r="D25" s="115">
        <f t="shared" si="0"/>
        <v>0.75</v>
      </c>
    </row>
    <row r="26" spans="2:4" ht="12.75">
      <c r="B26" s="115">
        <v>0.36</v>
      </c>
      <c r="C26" s="115">
        <v>0.69</v>
      </c>
      <c r="D26" s="115">
        <f t="shared" si="0"/>
        <v>0.5249999999999999</v>
      </c>
    </row>
    <row r="27" spans="2:4" ht="12.75">
      <c r="B27" s="115">
        <v>0.72</v>
      </c>
      <c r="D27" s="115">
        <f t="shared" si="0"/>
        <v>0.72</v>
      </c>
    </row>
    <row r="28" spans="2:4" ht="12.75">
      <c r="B28" s="115">
        <v>0.45</v>
      </c>
      <c r="D28" s="115">
        <f t="shared" si="0"/>
        <v>0.45</v>
      </c>
    </row>
    <row r="29" spans="2:4" ht="12.75">
      <c r="B29" s="115">
        <v>0.33</v>
      </c>
      <c r="C29" s="115">
        <v>0.4</v>
      </c>
      <c r="D29" s="115">
        <f t="shared" si="0"/>
        <v>0.365</v>
      </c>
    </row>
    <row r="30" spans="2:4" ht="12.75">
      <c r="B30" s="115">
        <v>0.25</v>
      </c>
      <c r="D30" s="115">
        <f t="shared" si="0"/>
        <v>0.25</v>
      </c>
    </row>
    <row r="31" spans="1:4" ht="12.75">
      <c r="A31" s="1" t="s">
        <v>408</v>
      </c>
      <c r="B31" s="115">
        <v>0.5</v>
      </c>
      <c r="D31" s="115">
        <f t="shared" si="0"/>
        <v>0.5</v>
      </c>
    </row>
    <row r="32" spans="2:4" ht="12.75">
      <c r="B32" s="115">
        <v>1</v>
      </c>
      <c r="D32" s="115">
        <f t="shared" si="0"/>
        <v>1</v>
      </c>
    </row>
    <row r="33" spans="2:4" ht="12.75">
      <c r="B33" s="115">
        <v>0.5</v>
      </c>
      <c r="D33" s="115">
        <f t="shared" si="0"/>
        <v>0.5</v>
      </c>
    </row>
    <row r="34" spans="2:4" ht="12.75">
      <c r="B34" s="115">
        <v>0.5</v>
      </c>
      <c r="C34" s="115">
        <v>1</v>
      </c>
      <c r="D34" s="115">
        <f t="shared" si="0"/>
        <v>0.75</v>
      </c>
    </row>
    <row r="35" spans="2:4" ht="12.75">
      <c r="B35" s="115">
        <v>0.02</v>
      </c>
      <c r="D35" s="115">
        <f t="shared" si="0"/>
        <v>0.02</v>
      </c>
    </row>
    <row r="36" spans="2:4" ht="12.75">
      <c r="B36" s="115">
        <v>0.02</v>
      </c>
      <c r="D36" s="115">
        <f t="shared" si="0"/>
        <v>0.02</v>
      </c>
    </row>
    <row r="37" spans="2:4" ht="12.75">
      <c r="B37" s="115">
        <v>0.09</v>
      </c>
      <c r="D37" s="115">
        <f t="shared" si="0"/>
        <v>0.09</v>
      </c>
    </row>
    <row r="38" spans="2:4" ht="12.75">
      <c r="B38" s="115">
        <v>0.22</v>
      </c>
      <c r="C38" s="115">
        <v>0.25</v>
      </c>
      <c r="D38" s="115">
        <f t="shared" si="0"/>
        <v>0.235</v>
      </c>
    </row>
    <row r="39" spans="2:4" ht="12.75">
      <c r="B39" s="115">
        <v>0.06</v>
      </c>
      <c r="C39" s="115">
        <v>0.11</v>
      </c>
      <c r="D39" s="115">
        <f t="shared" si="0"/>
        <v>0.08499999999999999</v>
      </c>
    </row>
    <row r="40" spans="2:4" ht="12.75">
      <c r="B40" s="115">
        <v>0</v>
      </c>
      <c r="C40" s="115">
        <v>0.04</v>
      </c>
      <c r="D40" s="115">
        <f t="shared" si="0"/>
        <v>0.02</v>
      </c>
    </row>
    <row r="41" spans="2:4" ht="12.75">
      <c r="B41" s="115">
        <v>0.77</v>
      </c>
      <c r="C41" s="115">
        <v>0.81</v>
      </c>
      <c r="D41" s="115">
        <f t="shared" si="0"/>
        <v>0.79</v>
      </c>
    </row>
    <row r="42" spans="2:4" ht="12.75">
      <c r="B42" s="115">
        <v>0.02</v>
      </c>
      <c r="D42" s="115">
        <f t="shared" si="0"/>
        <v>0.02</v>
      </c>
    </row>
    <row r="43" spans="2:4" ht="12.75">
      <c r="B43" s="115">
        <v>0.19</v>
      </c>
      <c r="D43" s="115">
        <f t="shared" si="0"/>
        <v>0.19</v>
      </c>
    </row>
    <row r="44" spans="2:4" ht="12.75">
      <c r="B44" s="115">
        <v>0.79</v>
      </c>
      <c r="D44" s="115">
        <f t="shared" si="0"/>
        <v>0.79</v>
      </c>
    </row>
    <row r="45" spans="2:4" ht="12.75">
      <c r="B45" s="115">
        <v>0.21</v>
      </c>
      <c r="D45" s="115">
        <f t="shared" si="0"/>
        <v>0.21</v>
      </c>
    </row>
    <row r="46" spans="2:4" ht="12.75">
      <c r="B46" s="115">
        <v>0.74</v>
      </c>
      <c r="C46" s="115">
        <v>0.82</v>
      </c>
      <c r="D46" s="115">
        <f t="shared" si="0"/>
        <v>0.78</v>
      </c>
    </row>
    <row r="47" spans="2:4" ht="12.75">
      <c r="B47" s="115">
        <v>0.36</v>
      </c>
      <c r="D47" s="115">
        <f t="shared" si="0"/>
        <v>0.36</v>
      </c>
    </row>
    <row r="48" spans="2:4" ht="12.75">
      <c r="B48" s="115">
        <v>0.12</v>
      </c>
      <c r="D48" s="115">
        <f t="shared" si="0"/>
        <v>0.12</v>
      </c>
    </row>
    <row r="49" spans="2:4" ht="12.75">
      <c r="B49" s="115">
        <v>0.78</v>
      </c>
      <c r="D49" s="115">
        <f t="shared" si="0"/>
        <v>0.78</v>
      </c>
    </row>
    <row r="50" spans="1:4" ht="12.75">
      <c r="A50" s="1" t="s">
        <v>409</v>
      </c>
      <c r="B50" s="115">
        <v>0.5</v>
      </c>
      <c r="C50" s="115">
        <v>0.9</v>
      </c>
      <c r="D50" s="115">
        <f t="shared" si="0"/>
        <v>0.7</v>
      </c>
    </row>
    <row r="51" spans="2:4" ht="12.75">
      <c r="B51" s="115">
        <v>0.2</v>
      </c>
      <c r="C51" s="115">
        <v>0.3</v>
      </c>
      <c r="D51" s="115">
        <f t="shared" si="0"/>
        <v>0.25</v>
      </c>
    </row>
    <row r="52" spans="2:4" ht="12.75">
      <c r="B52" s="115">
        <v>0.02</v>
      </c>
      <c r="C52" s="115">
        <v>0.28</v>
      </c>
      <c r="D52" s="115">
        <f t="shared" si="0"/>
        <v>0.15000000000000002</v>
      </c>
    </row>
    <row r="53" spans="2:4" ht="12.75">
      <c r="B53" s="115">
        <v>0.24</v>
      </c>
      <c r="D53" s="115">
        <f t="shared" si="0"/>
        <v>0.24</v>
      </c>
    </row>
    <row r="54" spans="2:4" ht="12.75">
      <c r="B54" s="115">
        <v>0.68</v>
      </c>
      <c r="D54" s="115">
        <f t="shared" si="0"/>
        <v>0.68</v>
      </c>
    </row>
    <row r="55" spans="2:4" ht="12.75">
      <c r="B55" s="115">
        <v>0.6</v>
      </c>
      <c r="D55" s="115">
        <f t="shared" si="0"/>
        <v>0.6</v>
      </c>
    </row>
    <row r="56" spans="2:4" ht="12.75">
      <c r="B56" s="115">
        <v>0.5</v>
      </c>
      <c r="C56" s="115">
        <v>0.9</v>
      </c>
      <c r="D56" s="115">
        <f t="shared" si="0"/>
        <v>0.7</v>
      </c>
    </row>
    <row r="57" spans="2:4" ht="12.75">
      <c r="B57" s="115">
        <v>0.25</v>
      </c>
      <c r="D57" s="115">
        <f t="shared" si="0"/>
        <v>0.25</v>
      </c>
    </row>
    <row r="58" spans="2:4" ht="12.75">
      <c r="B58" s="115">
        <v>0.2</v>
      </c>
      <c r="D58" s="115">
        <f t="shared" si="0"/>
        <v>0.2</v>
      </c>
    </row>
    <row r="59" spans="2:4" ht="12.75">
      <c r="B59" s="115">
        <v>0.08</v>
      </c>
      <c r="C59" s="115">
        <v>0.13</v>
      </c>
      <c r="D59" s="115">
        <f t="shared" si="0"/>
        <v>0.10500000000000001</v>
      </c>
    </row>
    <row r="60" spans="2:4" ht="12.75">
      <c r="B60" s="115">
        <v>0.28</v>
      </c>
      <c r="D60" s="115">
        <f t="shared" si="0"/>
        <v>0.28</v>
      </c>
    </row>
    <row r="61" spans="2:4" ht="12.75">
      <c r="B61" s="115">
        <v>0.24</v>
      </c>
      <c r="D61" s="115">
        <f t="shared" si="0"/>
        <v>0.24</v>
      </c>
    </row>
    <row r="62" spans="2:4" ht="12.75">
      <c r="B62" s="115">
        <v>0.19</v>
      </c>
      <c r="C62" s="115">
        <v>0.28</v>
      </c>
      <c r="D62" s="115">
        <f t="shared" si="0"/>
        <v>0.23500000000000001</v>
      </c>
    </row>
    <row r="63" spans="2:4" ht="12.75">
      <c r="B63" s="115">
        <v>0.34</v>
      </c>
      <c r="C63" s="115">
        <v>0.52</v>
      </c>
      <c r="D63" s="115">
        <f t="shared" si="0"/>
        <v>0.43000000000000005</v>
      </c>
    </row>
    <row r="64" spans="2:4" ht="12.75">
      <c r="B64" s="115">
        <v>0.42</v>
      </c>
      <c r="D64" s="115">
        <f t="shared" si="0"/>
        <v>0.42</v>
      </c>
    </row>
    <row r="65" spans="2:4" ht="12.75">
      <c r="B65" s="115">
        <v>0.77</v>
      </c>
      <c r="D65" s="115">
        <f t="shared" si="0"/>
        <v>0.77</v>
      </c>
    </row>
    <row r="66" spans="2:4" ht="12.75">
      <c r="B66" s="115">
        <v>0.33</v>
      </c>
      <c r="D66" s="115">
        <f t="shared" si="0"/>
        <v>0.33</v>
      </c>
    </row>
    <row r="67" spans="2:4" ht="12.75">
      <c r="B67" s="115">
        <v>1</v>
      </c>
      <c r="D67" s="115">
        <f t="shared" si="0"/>
        <v>1</v>
      </c>
    </row>
    <row r="68" spans="1:4" ht="12.75">
      <c r="A68" s="1" t="s">
        <v>410</v>
      </c>
      <c r="B68" s="115">
        <v>0.5</v>
      </c>
      <c r="D68" s="115">
        <f t="shared" si="0"/>
        <v>0.5</v>
      </c>
    </row>
    <row r="69" spans="2:4" ht="12.75">
      <c r="B69" s="115">
        <v>1</v>
      </c>
      <c r="D69" s="115">
        <f aca="true" t="shared" si="1" ref="D69:D86">AVERAGE(B69:C69)</f>
        <v>1</v>
      </c>
    </row>
    <row r="70" spans="2:4" ht="12.75">
      <c r="B70" s="115">
        <v>0</v>
      </c>
      <c r="D70" s="115">
        <f t="shared" si="1"/>
        <v>0</v>
      </c>
    </row>
    <row r="71" spans="2:4" ht="12.75">
      <c r="B71" s="115">
        <v>0</v>
      </c>
      <c r="D71" s="115">
        <f t="shared" si="1"/>
        <v>0</v>
      </c>
    </row>
    <row r="72" spans="2:4" ht="12.75">
      <c r="B72" s="115">
        <v>0.88</v>
      </c>
      <c r="D72" s="115">
        <f t="shared" si="1"/>
        <v>0.88</v>
      </c>
    </row>
    <row r="73" spans="2:4" ht="12.75">
      <c r="B73" s="115">
        <v>0.13</v>
      </c>
      <c r="D73" s="115">
        <f t="shared" si="1"/>
        <v>0.13</v>
      </c>
    </row>
    <row r="74" spans="2:4" ht="12.75">
      <c r="B74" s="115">
        <v>0.29</v>
      </c>
      <c r="D74" s="115">
        <f t="shared" si="1"/>
        <v>0.29</v>
      </c>
    </row>
    <row r="75" spans="2:4" ht="12.75">
      <c r="B75" s="115">
        <v>0.66</v>
      </c>
      <c r="D75" s="115">
        <f t="shared" si="1"/>
        <v>0.66</v>
      </c>
    </row>
    <row r="76" spans="2:4" ht="12.75">
      <c r="B76" s="115">
        <v>0</v>
      </c>
      <c r="D76" s="115">
        <f t="shared" si="1"/>
        <v>0</v>
      </c>
    </row>
    <row r="77" spans="2:4" ht="12.75">
      <c r="B77" s="115">
        <v>0.43</v>
      </c>
      <c r="D77" s="115">
        <f t="shared" si="1"/>
        <v>0.43</v>
      </c>
    </row>
    <row r="78" spans="2:4" ht="12.75">
      <c r="B78" s="115">
        <v>0.33</v>
      </c>
      <c r="D78" s="115">
        <f t="shared" si="1"/>
        <v>0.33</v>
      </c>
    </row>
    <row r="79" spans="2:4" ht="12.75">
      <c r="B79" s="115">
        <v>0</v>
      </c>
      <c r="D79" s="115">
        <f t="shared" si="1"/>
        <v>0</v>
      </c>
    </row>
    <row r="80" spans="2:4" ht="12.75">
      <c r="B80" s="115">
        <v>0</v>
      </c>
      <c r="D80" s="115">
        <f t="shared" si="1"/>
        <v>0</v>
      </c>
    </row>
    <row r="81" spans="2:4" ht="12.75">
      <c r="B81" s="115">
        <v>0</v>
      </c>
      <c r="D81" s="115">
        <f t="shared" si="1"/>
        <v>0</v>
      </c>
    </row>
    <row r="82" spans="2:4" ht="12.75">
      <c r="B82" s="115">
        <v>0.03</v>
      </c>
      <c r="D82" s="115">
        <f t="shared" si="1"/>
        <v>0.03</v>
      </c>
    </row>
    <row r="83" spans="2:4" ht="12.75">
      <c r="B83" s="115">
        <v>0.56</v>
      </c>
      <c r="D83" s="115">
        <f t="shared" si="1"/>
        <v>0.56</v>
      </c>
    </row>
    <row r="84" spans="2:4" ht="12.75">
      <c r="B84" s="115">
        <v>0.5</v>
      </c>
      <c r="D84" s="115">
        <f t="shared" si="1"/>
        <v>0.5</v>
      </c>
    </row>
    <row r="85" spans="2:4" ht="12.75">
      <c r="B85" s="115">
        <v>0.97</v>
      </c>
      <c r="D85" s="115">
        <f t="shared" si="1"/>
        <v>0.97</v>
      </c>
    </row>
    <row r="86" spans="2:4" ht="12.75">
      <c r="B86" s="115">
        <v>0</v>
      </c>
      <c r="D86" s="115">
        <f t="shared" si="1"/>
        <v>0</v>
      </c>
    </row>
    <row r="87" spans="3:4" ht="12.75">
      <c r="C87" s="115" t="s">
        <v>411</v>
      </c>
      <c r="D87" s="115">
        <f>AVERAGE(D4:D86)</f>
        <v>0.4105421686746987</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64"/>
  <sheetViews>
    <sheetView zoomScale="75" zoomScaleNormal="75" zoomScalePageLayoutView="0" workbookViewId="0" topLeftCell="A1">
      <selection activeCell="C13" sqref="C13"/>
    </sheetView>
  </sheetViews>
  <sheetFormatPr defaultColWidth="9.140625" defaultRowHeight="12.75"/>
  <cols>
    <col min="1" max="1" width="7.28125" style="45" bestFit="1" customWidth="1"/>
    <col min="2" max="2" width="20.00390625" style="45" customWidth="1"/>
    <col min="3" max="3" width="24.421875" style="45" bestFit="1" customWidth="1"/>
    <col min="4" max="4" width="23.140625" style="45" bestFit="1" customWidth="1"/>
    <col min="5" max="5" width="9.7109375" style="45" bestFit="1" customWidth="1"/>
    <col min="6" max="16384" width="9.140625" style="45" customWidth="1"/>
  </cols>
  <sheetData>
    <row r="1" spans="2:5" ht="12.75" thickBot="1">
      <c r="B1" s="46" t="s">
        <v>543</v>
      </c>
      <c r="C1" s="67"/>
      <c r="E1" s="68" t="s">
        <v>544</v>
      </c>
    </row>
    <row r="2" ht="12.75" thickTop="1">
      <c r="B2" s="60"/>
    </row>
    <row r="3" spans="1:5" ht="12">
      <c r="A3" s="50"/>
      <c r="B3" s="61" t="s">
        <v>169</v>
      </c>
      <c r="C3" s="61" t="s">
        <v>501</v>
      </c>
      <c r="D3" s="61" t="s">
        <v>502</v>
      </c>
      <c r="E3" s="52" t="s">
        <v>359</v>
      </c>
    </row>
    <row r="4" spans="1:5" ht="12">
      <c r="A4" s="62" t="s">
        <v>358</v>
      </c>
      <c r="B4" s="64" t="s">
        <v>475</v>
      </c>
      <c r="C4" s="64">
        <v>863</v>
      </c>
      <c r="D4" s="64">
        <v>2622</v>
      </c>
      <c r="E4" s="65">
        <f aca="true" t="shared" si="0" ref="E4:E35">D4/C4</f>
        <v>3.0382387022016224</v>
      </c>
    </row>
    <row r="5" spans="1:5" ht="12">
      <c r="A5" s="50"/>
      <c r="B5" s="64" t="s">
        <v>334</v>
      </c>
      <c r="C5" s="64">
        <v>24225</v>
      </c>
      <c r="D5" s="66">
        <v>8078</v>
      </c>
      <c r="E5" s="65">
        <f t="shared" si="0"/>
        <v>0.33345717234262123</v>
      </c>
    </row>
    <row r="6" spans="1:5" ht="12">
      <c r="A6" s="50"/>
      <c r="B6" s="64" t="s">
        <v>335</v>
      </c>
      <c r="C6" s="64">
        <v>4959</v>
      </c>
      <c r="D6" s="66">
        <v>3826</v>
      </c>
      <c r="E6" s="65">
        <f t="shared" si="0"/>
        <v>0.7715265174430329</v>
      </c>
    </row>
    <row r="7" spans="1:5" ht="12">
      <c r="A7" s="50"/>
      <c r="B7" s="64" t="s">
        <v>336</v>
      </c>
      <c r="C7" s="64">
        <v>1678</v>
      </c>
      <c r="D7" s="66">
        <v>2351</v>
      </c>
      <c r="E7" s="65">
        <f t="shared" si="0"/>
        <v>1.401072705601907</v>
      </c>
    </row>
    <row r="8" spans="1:5" ht="12">
      <c r="A8" s="50"/>
      <c r="B8" s="64" t="s">
        <v>337</v>
      </c>
      <c r="C8" s="64">
        <v>11776</v>
      </c>
      <c r="D8" s="66">
        <v>5075</v>
      </c>
      <c r="E8" s="65">
        <f t="shared" si="0"/>
        <v>0.430961277173913</v>
      </c>
    </row>
    <row r="9" spans="1:5" ht="12">
      <c r="A9" s="50"/>
      <c r="B9" s="64" t="s">
        <v>173</v>
      </c>
      <c r="C9" s="64">
        <v>12927</v>
      </c>
      <c r="D9" s="66">
        <v>14494</v>
      </c>
      <c r="E9" s="65">
        <f t="shared" si="0"/>
        <v>1.1212191537092906</v>
      </c>
    </row>
    <row r="10" spans="1:5" ht="12">
      <c r="A10" s="50"/>
      <c r="B10" s="64" t="s">
        <v>338</v>
      </c>
      <c r="C10" s="64">
        <v>2444</v>
      </c>
      <c r="D10" s="66">
        <v>22521</v>
      </c>
      <c r="E10" s="65">
        <f t="shared" si="0"/>
        <v>9.21481178396072</v>
      </c>
    </row>
    <row r="11" spans="1:5" ht="12">
      <c r="A11" s="50"/>
      <c r="B11" s="64" t="s">
        <v>339</v>
      </c>
      <c r="C11" s="64">
        <v>2164</v>
      </c>
      <c r="D11" s="66">
        <v>2934</v>
      </c>
      <c r="E11" s="65">
        <f t="shared" si="0"/>
        <v>1.355822550831793</v>
      </c>
    </row>
    <row r="12" spans="1:5" ht="12">
      <c r="A12" s="50"/>
      <c r="B12" s="64" t="s">
        <v>340</v>
      </c>
      <c r="C12" s="64">
        <v>5327</v>
      </c>
      <c r="D12" s="66">
        <v>1249</v>
      </c>
      <c r="E12" s="65">
        <f t="shared" si="0"/>
        <v>0.2344659282898442</v>
      </c>
    </row>
    <row r="13" spans="1:5" ht="12">
      <c r="A13" s="50"/>
      <c r="B13" s="64" t="s">
        <v>341</v>
      </c>
      <c r="C13" s="64">
        <v>576</v>
      </c>
      <c r="D13" s="66">
        <v>925</v>
      </c>
      <c r="E13" s="65">
        <f t="shared" si="0"/>
        <v>1.6059027777777777</v>
      </c>
    </row>
    <row r="14" spans="1:5" ht="12">
      <c r="A14" s="50"/>
      <c r="B14" s="64" t="s">
        <v>342</v>
      </c>
      <c r="C14" s="64">
        <v>144</v>
      </c>
      <c r="D14" s="66">
        <v>1694</v>
      </c>
      <c r="E14" s="65">
        <f t="shared" si="0"/>
        <v>11.76388888888889</v>
      </c>
    </row>
    <row r="15" spans="1:5" ht="12">
      <c r="A15" s="50"/>
      <c r="B15" s="64" t="s">
        <v>343</v>
      </c>
      <c r="C15" s="64">
        <v>1369</v>
      </c>
      <c r="D15" s="66">
        <v>11921</v>
      </c>
      <c r="E15" s="65">
        <f t="shared" si="0"/>
        <v>8.70781592403214</v>
      </c>
    </row>
    <row r="16" spans="1:5" ht="12">
      <c r="A16" s="50"/>
      <c r="B16" s="64" t="s">
        <v>344</v>
      </c>
      <c r="C16" s="64">
        <v>8367</v>
      </c>
      <c r="D16" s="66">
        <v>12811</v>
      </c>
      <c r="E16" s="65">
        <f t="shared" si="0"/>
        <v>1.5311342177602485</v>
      </c>
    </row>
    <row r="17" spans="1:5" ht="12">
      <c r="A17" s="50"/>
      <c r="B17" s="64" t="s">
        <v>345</v>
      </c>
      <c r="C17" s="64">
        <v>2972</v>
      </c>
      <c r="D17" s="66">
        <v>4544</v>
      </c>
      <c r="E17" s="65">
        <f t="shared" si="0"/>
        <v>1.5289367429340512</v>
      </c>
    </row>
    <row r="18" spans="1:5" ht="12">
      <c r="A18" s="50"/>
      <c r="B18" s="64" t="s">
        <v>346</v>
      </c>
      <c r="C18" s="64">
        <v>3248</v>
      </c>
      <c r="D18" s="66">
        <v>1453</v>
      </c>
      <c r="E18" s="65">
        <f t="shared" si="0"/>
        <v>0.44735221674876846</v>
      </c>
    </row>
    <row r="19" spans="1:5" ht="12">
      <c r="A19" s="50"/>
      <c r="B19" s="64" t="s">
        <v>347</v>
      </c>
      <c r="C19" s="64">
        <v>2842</v>
      </c>
      <c r="D19" s="66">
        <v>1205</v>
      </c>
      <c r="E19" s="65">
        <f t="shared" si="0"/>
        <v>0.42399718508092893</v>
      </c>
    </row>
    <row r="20" spans="1:5" ht="12">
      <c r="A20" s="50"/>
      <c r="B20" s="64" t="s">
        <v>348</v>
      </c>
      <c r="C20" s="64">
        <v>3829</v>
      </c>
      <c r="D20" s="66">
        <v>4852</v>
      </c>
      <c r="E20" s="65">
        <f t="shared" si="0"/>
        <v>1.2671715852703056</v>
      </c>
    </row>
    <row r="21" spans="1:5" ht="12">
      <c r="A21" s="50"/>
      <c r="B21" s="64" t="s">
        <v>349</v>
      </c>
      <c r="C21" s="64">
        <v>1267</v>
      </c>
      <c r="D21" s="66">
        <v>1483</v>
      </c>
      <c r="E21" s="65">
        <f t="shared" si="0"/>
        <v>1.170481452249408</v>
      </c>
    </row>
    <row r="22" spans="1:5" ht="12">
      <c r="A22" s="50"/>
      <c r="B22" s="64" t="s">
        <v>350</v>
      </c>
      <c r="C22" s="64">
        <v>3456</v>
      </c>
      <c r="D22" s="66">
        <v>3533</v>
      </c>
      <c r="E22" s="65">
        <f t="shared" si="0"/>
        <v>1.0222800925925926</v>
      </c>
    </row>
    <row r="23" spans="1:5" ht="12">
      <c r="A23" s="50"/>
      <c r="B23" s="64" t="s">
        <v>133</v>
      </c>
      <c r="C23" s="64">
        <v>9846</v>
      </c>
      <c r="D23" s="66">
        <v>2703</v>
      </c>
      <c r="E23" s="65">
        <f t="shared" si="0"/>
        <v>0.2745277269957343</v>
      </c>
    </row>
    <row r="24" spans="1:5" ht="12">
      <c r="A24" s="50"/>
      <c r="B24" s="64" t="s">
        <v>351</v>
      </c>
      <c r="C24" s="64">
        <v>25794</v>
      </c>
      <c r="D24" s="66">
        <v>10808</v>
      </c>
      <c r="E24" s="65">
        <f t="shared" si="0"/>
        <v>0.41901217337365276</v>
      </c>
    </row>
    <row r="25" spans="1:5" ht="12">
      <c r="A25" s="50"/>
      <c r="B25" s="64" t="s">
        <v>352</v>
      </c>
      <c r="C25" s="64">
        <v>17009</v>
      </c>
      <c r="D25" s="66">
        <v>16125</v>
      </c>
      <c r="E25" s="65">
        <f t="shared" si="0"/>
        <v>0.948027514845082</v>
      </c>
    </row>
    <row r="26" spans="1:5" ht="12">
      <c r="A26" s="50"/>
      <c r="B26" s="64" t="s">
        <v>353</v>
      </c>
      <c r="C26" s="64">
        <v>19251</v>
      </c>
      <c r="D26" s="66">
        <v>11881</v>
      </c>
      <c r="E26" s="65">
        <f t="shared" si="0"/>
        <v>0.6171627447924783</v>
      </c>
    </row>
    <row r="27" spans="1:5" ht="12">
      <c r="A27" s="50"/>
      <c r="B27" s="64" t="s">
        <v>354</v>
      </c>
      <c r="C27" s="64">
        <v>1643</v>
      </c>
      <c r="D27" s="66">
        <v>2196</v>
      </c>
      <c r="E27" s="65">
        <f t="shared" si="0"/>
        <v>1.336579427875837</v>
      </c>
    </row>
    <row r="28" spans="1:5" ht="12">
      <c r="A28" s="50"/>
      <c r="B28" s="64" t="s">
        <v>355</v>
      </c>
      <c r="C28" s="64">
        <v>465</v>
      </c>
      <c r="D28" s="66">
        <v>415</v>
      </c>
      <c r="E28" s="65">
        <f t="shared" si="0"/>
        <v>0.8924731182795699</v>
      </c>
    </row>
    <row r="29" spans="1:5" ht="12">
      <c r="A29" s="50"/>
      <c r="B29" s="64" t="s">
        <v>356</v>
      </c>
      <c r="C29" s="64">
        <v>6455</v>
      </c>
      <c r="D29" s="66">
        <v>3687</v>
      </c>
      <c r="E29" s="65">
        <f t="shared" si="0"/>
        <v>0.5711851278079009</v>
      </c>
    </row>
    <row r="30" spans="1:5" ht="12">
      <c r="A30" s="50"/>
      <c r="B30" s="64" t="s">
        <v>357</v>
      </c>
      <c r="C30" s="64">
        <v>1896</v>
      </c>
      <c r="D30" s="66">
        <v>1501</v>
      </c>
      <c r="E30" s="65">
        <f t="shared" si="0"/>
        <v>0.7916666666666666</v>
      </c>
    </row>
    <row r="31" spans="1:5" ht="12">
      <c r="A31" s="63" t="s">
        <v>361</v>
      </c>
      <c r="B31" s="54" t="s">
        <v>503</v>
      </c>
      <c r="C31" s="54">
        <v>1411</v>
      </c>
      <c r="D31" s="54">
        <v>790</v>
      </c>
      <c r="E31" s="65">
        <f t="shared" si="0"/>
        <v>0.5598866052445074</v>
      </c>
    </row>
    <row r="32" spans="2:5" ht="12">
      <c r="B32" s="54" t="s">
        <v>504</v>
      </c>
      <c r="C32" s="54">
        <v>611</v>
      </c>
      <c r="D32" s="54">
        <v>231</v>
      </c>
      <c r="E32" s="65">
        <f t="shared" si="0"/>
        <v>0.3780687397708674</v>
      </c>
    </row>
    <row r="33" spans="2:5" ht="12">
      <c r="B33" s="54" t="s">
        <v>505</v>
      </c>
      <c r="C33" s="54">
        <v>595</v>
      </c>
      <c r="D33" s="54">
        <v>1173</v>
      </c>
      <c r="E33" s="65">
        <f t="shared" si="0"/>
        <v>1.9714285714285715</v>
      </c>
    </row>
    <row r="34" spans="2:5" ht="12">
      <c r="B34" s="54" t="s">
        <v>506</v>
      </c>
      <c r="C34" s="54">
        <v>736</v>
      </c>
      <c r="D34" s="54">
        <v>652</v>
      </c>
      <c r="E34" s="65">
        <f t="shared" si="0"/>
        <v>0.8858695652173914</v>
      </c>
    </row>
    <row r="35" spans="2:5" ht="12">
      <c r="B35" s="54" t="s">
        <v>507</v>
      </c>
      <c r="C35" s="54">
        <v>65</v>
      </c>
      <c r="D35" s="54">
        <v>116</v>
      </c>
      <c r="E35" s="65">
        <f t="shared" si="0"/>
        <v>1.7846153846153847</v>
      </c>
    </row>
    <row r="36" spans="2:5" ht="12">
      <c r="B36" s="54" t="s">
        <v>508</v>
      </c>
      <c r="C36" s="54">
        <v>101</v>
      </c>
      <c r="D36" s="54">
        <v>109</v>
      </c>
      <c r="E36" s="65">
        <f aca="true" t="shared" si="1" ref="E36:E64">D36/C36</f>
        <v>1.0792079207920793</v>
      </c>
    </row>
    <row r="37" spans="2:5" ht="12">
      <c r="B37" s="54" t="s">
        <v>509</v>
      </c>
      <c r="C37" s="54">
        <v>74</v>
      </c>
      <c r="D37" s="54">
        <v>195</v>
      </c>
      <c r="E37" s="65">
        <f t="shared" si="1"/>
        <v>2.635135135135135</v>
      </c>
    </row>
    <row r="38" spans="2:5" ht="12">
      <c r="B38" s="54" t="s">
        <v>510</v>
      </c>
      <c r="C38" s="54">
        <v>510</v>
      </c>
      <c r="D38" s="54">
        <v>875</v>
      </c>
      <c r="E38" s="65">
        <f t="shared" si="1"/>
        <v>1.7156862745098038</v>
      </c>
    </row>
    <row r="39" spans="2:5" ht="12">
      <c r="B39" s="54" t="s">
        <v>511</v>
      </c>
      <c r="C39" s="54">
        <v>115</v>
      </c>
      <c r="D39" s="54">
        <v>178</v>
      </c>
      <c r="E39" s="65">
        <f t="shared" si="1"/>
        <v>1.5478260869565217</v>
      </c>
    </row>
    <row r="40" spans="2:5" ht="12">
      <c r="B40" s="54" t="s">
        <v>512</v>
      </c>
      <c r="C40" s="54">
        <v>3</v>
      </c>
      <c r="D40" s="54">
        <v>3</v>
      </c>
      <c r="E40" s="65">
        <f t="shared" si="1"/>
        <v>1</v>
      </c>
    </row>
    <row r="41" spans="2:5" ht="12">
      <c r="B41" s="54" t="s">
        <v>513</v>
      </c>
      <c r="C41" s="54">
        <v>102</v>
      </c>
      <c r="D41" s="54">
        <v>166</v>
      </c>
      <c r="E41" s="65">
        <f t="shared" si="1"/>
        <v>1.6274509803921569</v>
      </c>
    </row>
    <row r="42" spans="2:5" ht="12">
      <c r="B42" s="54" t="s">
        <v>514</v>
      </c>
      <c r="C42" s="54">
        <v>24</v>
      </c>
      <c r="D42" s="54">
        <v>15</v>
      </c>
      <c r="E42" s="65">
        <f t="shared" si="1"/>
        <v>0.625</v>
      </c>
    </row>
    <row r="43" spans="2:5" ht="12">
      <c r="B43" s="54" t="s">
        <v>515</v>
      </c>
      <c r="C43" s="54">
        <v>76</v>
      </c>
      <c r="D43" s="54">
        <v>56</v>
      </c>
      <c r="E43" s="65">
        <f t="shared" si="1"/>
        <v>0.7368421052631579</v>
      </c>
    </row>
    <row r="44" spans="2:5" ht="12">
      <c r="B44" s="54" t="s">
        <v>516</v>
      </c>
      <c r="C44" s="54">
        <v>21</v>
      </c>
      <c r="D44" s="54">
        <v>21</v>
      </c>
      <c r="E44" s="65">
        <f t="shared" si="1"/>
        <v>1</v>
      </c>
    </row>
    <row r="45" spans="2:5" ht="12">
      <c r="B45" s="54" t="s">
        <v>517</v>
      </c>
      <c r="C45" s="54">
        <v>1723</v>
      </c>
      <c r="D45" s="54">
        <v>767</v>
      </c>
      <c r="E45" s="65">
        <f t="shared" si="1"/>
        <v>0.4451538015089959</v>
      </c>
    </row>
    <row r="46" spans="2:5" ht="12">
      <c r="B46" s="54" t="s">
        <v>518</v>
      </c>
      <c r="C46" s="54">
        <v>176</v>
      </c>
      <c r="D46" s="54">
        <v>164</v>
      </c>
      <c r="E46" s="65">
        <f t="shared" si="1"/>
        <v>0.9318181818181818</v>
      </c>
    </row>
    <row r="47" spans="2:5" ht="12">
      <c r="B47" s="54" t="s">
        <v>211</v>
      </c>
      <c r="C47" s="54">
        <v>282</v>
      </c>
      <c r="D47" s="54">
        <v>878</v>
      </c>
      <c r="E47" s="65">
        <f t="shared" si="1"/>
        <v>3.1134751773049647</v>
      </c>
    </row>
    <row r="48" spans="2:5" ht="12">
      <c r="B48" s="54" t="s">
        <v>519</v>
      </c>
      <c r="C48" s="54">
        <v>849</v>
      </c>
      <c r="D48" s="54">
        <v>1700</v>
      </c>
      <c r="E48" s="65">
        <f t="shared" si="1"/>
        <v>2.0023557126030624</v>
      </c>
    </row>
    <row r="49" spans="2:5" ht="12">
      <c r="B49" s="54" t="s">
        <v>520</v>
      </c>
      <c r="C49" s="54">
        <v>202</v>
      </c>
      <c r="D49" s="54">
        <v>412</v>
      </c>
      <c r="E49" s="65">
        <f t="shared" si="1"/>
        <v>2.0396039603960396</v>
      </c>
    </row>
    <row r="50" spans="2:5" ht="12">
      <c r="B50" s="54" t="s">
        <v>521</v>
      </c>
      <c r="C50" s="54">
        <v>2</v>
      </c>
      <c r="D50" s="54">
        <v>2</v>
      </c>
      <c r="E50" s="65">
        <f t="shared" si="1"/>
        <v>1</v>
      </c>
    </row>
    <row r="51" spans="2:5" ht="12">
      <c r="B51" s="54" t="s">
        <v>522</v>
      </c>
      <c r="C51" s="54">
        <v>5721</v>
      </c>
      <c r="D51" s="54">
        <v>2126</v>
      </c>
      <c r="E51" s="65">
        <f t="shared" si="1"/>
        <v>0.3716133543086873</v>
      </c>
    </row>
    <row r="52" spans="2:5" ht="12">
      <c r="B52" s="54" t="s">
        <v>523</v>
      </c>
      <c r="C52" s="54">
        <v>164</v>
      </c>
      <c r="D52" s="54">
        <v>14</v>
      </c>
      <c r="E52" s="65">
        <f t="shared" si="1"/>
        <v>0.08536585365853659</v>
      </c>
    </row>
    <row r="53" spans="2:5" ht="12">
      <c r="B53" s="54" t="s">
        <v>524</v>
      </c>
      <c r="C53" s="54">
        <v>46</v>
      </c>
      <c r="D53" s="54">
        <v>43</v>
      </c>
      <c r="E53" s="65">
        <f t="shared" si="1"/>
        <v>0.9347826086956522</v>
      </c>
    </row>
    <row r="54" spans="2:5" ht="12">
      <c r="B54" s="54" t="s">
        <v>525</v>
      </c>
      <c r="C54" s="54">
        <v>48</v>
      </c>
      <c r="D54" s="54">
        <v>79</v>
      </c>
      <c r="E54" s="65">
        <f t="shared" si="1"/>
        <v>1.6458333333333333</v>
      </c>
    </row>
    <row r="55" spans="2:5" ht="12">
      <c r="B55" s="54" t="s">
        <v>526</v>
      </c>
      <c r="C55" s="54">
        <v>41</v>
      </c>
      <c r="D55" s="54">
        <v>36</v>
      </c>
      <c r="E55" s="65">
        <f t="shared" si="1"/>
        <v>0.8780487804878049</v>
      </c>
    </row>
    <row r="56" spans="2:5" ht="12">
      <c r="B56" s="54" t="s">
        <v>527</v>
      </c>
      <c r="C56" s="54">
        <v>47</v>
      </c>
      <c r="D56" s="54">
        <v>114</v>
      </c>
      <c r="E56" s="65">
        <f t="shared" si="1"/>
        <v>2.425531914893617</v>
      </c>
    </row>
    <row r="57" spans="2:5" ht="12">
      <c r="B57" s="54" t="s">
        <v>528</v>
      </c>
      <c r="C57" s="54">
        <v>115</v>
      </c>
      <c r="D57" s="54">
        <v>27</v>
      </c>
      <c r="E57" s="65">
        <f t="shared" si="1"/>
        <v>0.23478260869565218</v>
      </c>
    </row>
    <row r="58" spans="2:5" ht="12">
      <c r="B58" s="54" t="s">
        <v>352</v>
      </c>
      <c r="C58" s="54">
        <v>169</v>
      </c>
      <c r="D58" s="54">
        <v>327</v>
      </c>
      <c r="E58" s="65">
        <f t="shared" si="1"/>
        <v>1.9349112426035502</v>
      </c>
    </row>
    <row r="59" spans="2:5" ht="12">
      <c r="B59" s="54" t="s">
        <v>529</v>
      </c>
      <c r="C59" s="54">
        <v>113</v>
      </c>
      <c r="D59" s="54">
        <v>104</v>
      </c>
      <c r="E59" s="65">
        <f t="shared" si="1"/>
        <v>0.9203539823008849</v>
      </c>
    </row>
    <row r="60" spans="2:5" ht="12">
      <c r="B60" s="54" t="s">
        <v>530</v>
      </c>
      <c r="C60" s="54">
        <v>1624</v>
      </c>
      <c r="D60" s="54">
        <v>120</v>
      </c>
      <c r="E60" s="65">
        <f t="shared" si="1"/>
        <v>0.07389162561576355</v>
      </c>
    </row>
    <row r="61" spans="2:5" ht="12">
      <c r="B61" s="54" t="s">
        <v>531</v>
      </c>
      <c r="C61" s="54">
        <v>1063</v>
      </c>
      <c r="D61" s="54">
        <v>328</v>
      </c>
      <c r="E61" s="65">
        <f t="shared" si="1"/>
        <v>0.3085606773283161</v>
      </c>
    </row>
    <row r="62" spans="2:5" ht="12">
      <c r="B62" s="54" t="s">
        <v>532</v>
      </c>
      <c r="C62" s="54">
        <v>26</v>
      </c>
      <c r="D62" s="54">
        <v>549</v>
      </c>
      <c r="E62" s="65">
        <f t="shared" si="1"/>
        <v>21.115384615384617</v>
      </c>
    </row>
    <row r="63" spans="2:5" ht="12">
      <c r="B63" s="54" t="s">
        <v>533</v>
      </c>
      <c r="C63" s="54">
        <v>855</v>
      </c>
      <c r="D63" s="54">
        <v>3234</v>
      </c>
      <c r="E63" s="65">
        <f t="shared" si="1"/>
        <v>3.7824561403508774</v>
      </c>
    </row>
    <row r="64" spans="2:5" ht="12">
      <c r="B64" s="54" t="s">
        <v>534</v>
      </c>
      <c r="C64" s="54">
        <v>352</v>
      </c>
      <c r="D64" s="54">
        <v>451</v>
      </c>
      <c r="E64" s="65">
        <f t="shared" si="1"/>
        <v>1.28125</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N149"/>
  <sheetViews>
    <sheetView zoomScale="75" zoomScaleNormal="75" zoomScalePageLayoutView="0" workbookViewId="0" topLeftCell="A30">
      <selection activeCell="J43" sqref="J43"/>
    </sheetView>
  </sheetViews>
  <sheetFormatPr defaultColWidth="9.140625" defaultRowHeight="12.75"/>
  <cols>
    <col min="1" max="1" width="24.421875" style="1" customWidth="1"/>
    <col min="2" max="2" width="13.140625" style="3" hidden="1" customWidth="1"/>
    <col min="3" max="3" width="10.7109375" style="27" customWidth="1"/>
    <col min="4" max="4" width="13.28125" style="3" customWidth="1"/>
    <col min="5" max="5" width="17.421875" style="3" hidden="1" customWidth="1"/>
    <col min="6" max="6" width="13.8515625" style="34" bestFit="1" customWidth="1"/>
    <col min="7" max="7" width="13.28125" style="3" customWidth="1"/>
    <col min="8" max="8" width="13.8515625" style="34" bestFit="1" customWidth="1"/>
    <col min="9" max="9" width="5.421875" style="1" customWidth="1"/>
    <col min="10" max="13" width="9.140625" style="9" customWidth="1"/>
    <col min="14" max="14" width="9.140625" style="10" customWidth="1"/>
    <col min="15" max="16384" width="9.140625" style="1" customWidth="1"/>
  </cols>
  <sheetData>
    <row r="1" spans="4:10" ht="12.75">
      <c r="D1" s="3" t="s">
        <v>630</v>
      </c>
      <c r="G1" s="3" t="s">
        <v>631</v>
      </c>
      <c r="J1" s="9" t="s">
        <v>166</v>
      </c>
    </row>
    <row r="2" spans="1:14" s="11" customFormat="1" ht="14.25" thickBot="1">
      <c r="A2" s="14" t="s">
        <v>496</v>
      </c>
      <c r="B2" s="35" t="s">
        <v>364</v>
      </c>
      <c r="C2" s="37" t="s">
        <v>632</v>
      </c>
      <c r="D2" s="35" t="s">
        <v>494</v>
      </c>
      <c r="E2" s="35" t="s">
        <v>365</v>
      </c>
      <c r="F2" s="35" t="s">
        <v>495</v>
      </c>
      <c r="G2" s="35" t="s">
        <v>494</v>
      </c>
      <c r="H2" s="35" t="s">
        <v>495</v>
      </c>
      <c r="J2" s="9" t="s">
        <v>331</v>
      </c>
      <c r="K2" s="15"/>
      <c r="L2" s="15"/>
      <c r="M2" s="15"/>
      <c r="N2" s="16"/>
    </row>
    <row r="3" spans="1:10" ht="12.75">
      <c r="A3" s="86" t="s">
        <v>170</v>
      </c>
      <c r="B3" s="78">
        <v>1160</v>
      </c>
      <c r="C3" s="87">
        <v>0.746875</v>
      </c>
      <c r="D3" s="77">
        <f aca="true" t="shared" si="0" ref="D3:D34">1000*B3</f>
        <v>1160000</v>
      </c>
      <c r="E3" s="78">
        <v>1160</v>
      </c>
      <c r="F3" s="79">
        <f aca="true" t="shared" si="1" ref="F3:F34">D3/C3</f>
        <v>1553138.0753138077</v>
      </c>
      <c r="G3" s="77">
        <f aca="true" t="shared" si="2" ref="G3:G34">1000*E3</f>
        <v>1160000</v>
      </c>
      <c r="H3" s="79">
        <f aca="true" t="shared" si="3" ref="H3:H34">G3/C3</f>
        <v>1553138.0753138077</v>
      </c>
      <c r="J3" s="9" t="s">
        <v>332</v>
      </c>
    </row>
    <row r="4" spans="1:10" ht="12.75">
      <c r="A4" s="88" t="s">
        <v>171</v>
      </c>
      <c r="B4" s="19">
        <v>12738</v>
      </c>
      <c r="C4" s="89">
        <v>0.04188712522045855</v>
      </c>
      <c r="D4" s="80">
        <f t="shared" si="0"/>
        <v>12738000</v>
      </c>
      <c r="E4" s="19">
        <v>12738</v>
      </c>
      <c r="F4" s="81">
        <f t="shared" si="1"/>
        <v>304102989.47368425</v>
      </c>
      <c r="G4" s="80">
        <f t="shared" si="2"/>
        <v>12738000</v>
      </c>
      <c r="H4" s="81">
        <f t="shared" si="3"/>
        <v>304102989.47368425</v>
      </c>
      <c r="J4" s="9" t="s">
        <v>333</v>
      </c>
    </row>
    <row r="5" spans="1:10" ht="12.75">
      <c r="A5" s="88" t="s">
        <v>172</v>
      </c>
      <c r="B5" s="19">
        <v>131258</v>
      </c>
      <c r="C5" s="89">
        <v>1.7</v>
      </c>
      <c r="D5" s="80">
        <f t="shared" si="0"/>
        <v>131258000</v>
      </c>
      <c r="E5" s="19">
        <v>131257</v>
      </c>
      <c r="F5" s="81">
        <f t="shared" si="1"/>
        <v>77210588.23529412</v>
      </c>
      <c r="G5" s="80">
        <f t="shared" si="2"/>
        <v>131257000</v>
      </c>
      <c r="H5" s="81">
        <f t="shared" si="3"/>
        <v>77210000</v>
      </c>
      <c r="J5" s="9" t="s">
        <v>161</v>
      </c>
    </row>
    <row r="6" spans="1:10" ht="12.75">
      <c r="A6" s="88" t="s">
        <v>173</v>
      </c>
      <c r="B6" s="19">
        <v>9307</v>
      </c>
      <c r="C6" s="89">
        <v>3.6357316666666666</v>
      </c>
      <c r="D6" s="80">
        <f t="shared" si="0"/>
        <v>9307000</v>
      </c>
      <c r="E6" s="19">
        <v>9307</v>
      </c>
      <c r="F6" s="81">
        <f t="shared" si="1"/>
        <v>2559869.8840535996</v>
      </c>
      <c r="G6" s="80">
        <f t="shared" si="2"/>
        <v>9307000</v>
      </c>
      <c r="H6" s="81">
        <f t="shared" si="3"/>
        <v>2559869.8840535996</v>
      </c>
      <c r="J6" s="9" t="s">
        <v>162</v>
      </c>
    </row>
    <row r="7" spans="1:10" ht="12.75">
      <c r="A7" s="88" t="s">
        <v>174</v>
      </c>
      <c r="B7" s="19">
        <v>352</v>
      </c>
      <c r="C7" s="89">
        <v>0.85</v>
      </c>
      <c r="D7" s="80">
        <f t="shared" si="0"/>
        <v>352000</v>
      </c>
      <c r="E7" s="19">
        <v>352</v>
      </c>
      <c r="F7" s="81">
        <f t="shared" si="1"/>
        <v>414117.64705882355</v>
      </c>
      <c r="G7" s="80">
        <f t="shared" si="2"/>
        <v>352000</v>
      </c>
      <c r="H7" s="81">
        <f t="shared" si="3"/>
        <v>414117.64705882355</v>
      </c>
      <c r="J7" s="9" t="s">
        <v>163</v>
      </c>
    </row>
    <row r="8" spans="1:10" ht="12.75">
      <c r="A8" s="88" t="s">
        <v>175</v>
      </c>
      <c r="B8" s="19">
        <v>993</v>
      </c>
      <c r="C8" s="89">
        <v>6.12</v>
      </c>
      <c r="D8" s="80">
        <f t="shared" si="0"/>
        <v>993000</v>
      </c>
      <c r="E8" s="19">
        <v>993</v>
      </c>
      <c r="F8" s="81">
        <f t="shared" si="1"/>
        <v>162254.9019607843</v>
      </c>
      <c r="G8" s="80">
        <f t="shared" si="2"/>
        <v>993000</v>
      </c>
      <c r="H8" s="81">
        <f t="shared" si="3"/>
        <v>162254.9019607843</v>
      </c>
      <c r="J8" s="9" t="s">
        <v>164</v>
      </c>
    </row>
    <row r="9" spans="1:10" ht="12.75">
      <c r="A9" s="88" t="s">
        <v>176</v>
      </c>
      <c r="B9" s="19">
        <v>7544</v>
      </c>
      <c r="C9" s="89">
        <v>0.7185625</v>
      </c>
      <c r="D9" s="80">
        <f t="shared" si="0"/>
        <v>7544000</v>
      </c>
      <c r="E9" s="19">
        <v>7544</v>
      </c>
      <c r="F9" s="81">
        <f t="shared" si="1"/>
        <v>10498738.80142646</v>
      </c>
      <c r="G9" s="80">
        <f t="shared" si="2"/>
        <v>7544000</v>
      </c>
      <c r="H9" s="81">
        <f t="shared" si="3"/>
        <v>10498738.80142646</v>
      </c>
      <c r="J9" s="9" t="s">
        <v>165</v>
      </c>
    </row>
    <row r="10" spans="1:10" ht="12.75">
      <c r="A10" s="88" t="s">
        <v>177</v>
      </c>
      <c r="B10" s="19">
        <v>15150</v>
      </c>
      <c r="C10" s="89">
        <v>4.9134375</v>
      </c>
      <c r="D10" s="80">
        <f t="shared" si="0"/>
        <v>15150000</v>
      </c>
      <c r="E10" s="19">
        <v>15150</v>
      </c>
      <c r="F10" s="81">
        <f t="shared" si="1"/>
        <v>3083381.0341537874</v>
      </c>
      <c r="G10" s="80">
        <f t="shared" si="2"/>
        <v>15150000</v>
      </c>
      <c r="H10" s="81">
        <f t="shared" si="3"/>
        <v>3083381.0341537874</v>
      </c>
      <c r="J10" s="9" t="s">
        <v>461</v>
      </c>
    </row>
    <row r="11" spans="1:10" ht="12.75">
      <c r="A11" s="88" t="s">
        <v>327</v>
      </c>
      <c r="B11" s="19">
        <v>3070</v>
      </c>
      <c r="C11" s="89">
        <v>0.7639374999999999</v>
      </c>
      <c r="D11" s="80">
        <f t="shared" si="0"/>
        <v>3070000</v>
      </c>
      <c r="E11" s="19">
        <v>3070</v>
      </c>
      <c r="F11" s="81">
        <f t="shared" si="1"/>
        <v>4018653.3584226463</v>
      </c>
      <c r="G11" s="80">
        <f t="shared" si="2"/>
        <v>3070000</v>
      </c>
      <c r="H11" s="81">
        <f t="shared" si="3"/>
        <v>4018653.3584226463</v>
      </c>
      <c r="J11" s="9" t="s">
        <v>465</v>
      </c>
    </row>
    <row r="12" spans="1:14" ht="12.75">
      <c r="A12" s="88" t="s">
        <v>178</v>
      </c>
      <c r="B12" s="19">
        <v>28619</v>
      </c>
      <c r="C12" s="89">
        <v>3.038</v>
      </c>
      <c r="D12" s="80">
        <f t="shared" si="0"/>
        <v>28619000</v>
      </c>
      <c r="E12" s="19">
        <v>28620</v>
      </c>
      <c r="F12" s="81">
        <f t="shared" si="1"/>
        <v>9420342.33048058</v>
      </c>
      <c r="G12" s="80">
        <f t="shared" si="2"/>
        <v>28620000</v>
      </c>
      <c r="H12" s="81">
        <f t="shared" si="3"/>
        <v>9420671.494404214</v>
      </c>
      <c r="J12" s="15" t="s">
        <v>466</v>
      </c>
      <c r="K12" s="15"/>
      <c r="L12" s="15"/>
      <c r="M12" s="15"/>
      <c r="N12" s="16"/>
    </row>
    <row r="13" spans="1:8" ht="12.75">
      <c r="A13" s="88" t="s">
        <v>179</v>
      </c>
      <c r="B13" s="19">
        <v>661314</v>
      </c>
      <c r="C13" s="89">
        <v>1</v>
      </c>
      <c r="D13" s="80">
        <f t="shared" si="0"/>
        <v>661314000</v>
      </c>
      <c r="E13" s="19">
        <v>661314</v>
      </c>
      <c r="F13" s="81">
        <f t="shared" si="1"/>
        <v>661314000</v>
      </c>
      <c r="G13" s="80">
        <f t="shared" si="2"/>
        <v>661314000</v>
      </c>
      <c r="H13" s="81">
        <f t="shared" si="3"/>
        <v>661314000</v>
      </c>
    </row>
    <row r="14" spans="1:8" ht="12.75">
      <c r="A14" s="88" t="s">
        <v>180</v>
      </c>
      <c r="B14" s="19">
        <v>593</v>
      </c>
      <c r="C14" s="89">
        <v>6.166666666666667</v>
      </c>
      <c r="D14" s="80">
        <f t="shared" si="0"/>
        <v>593000</v>
      </c>
      <c r="E14" s="19">
        <v>593</v>
      </c>
      <c r="F14" s="81">
        <f t="shared" si="1"/>
        <v>96162.16216216216</v>
      </c>
      <c r="G14" s="80">
        <f t="shared" si="2"/>
        <v>593000</v>
      </c>
      <c r="H14" s="81">
        <f t="shared" si="3"/>
        <v>96162.16216216216</v>
      </c>
    </row>
    <row r="15" spans="1:8" ht="12.75">
      <c r="A15" s="88" t="s">
        <v>181</v>
      </c>
      <c r="B15" s="19">
        <v>27413</v>
      </c>
      <c r="C15" s="89">
        <v>0.9201237500000001</v>
      </c>
      <c r="D15" s="80">
        <f t="shared" si="0"/>
        <v>27413000</v>
      </c>
      <c r="E15" s="19">
        <v>27413</v>
      </c>
      <c r="F15" s="81">
        <f t="shared" si="1"/>
        <v>29792731.684189215</v>
      </c>
      <c r="G15" s="80">
        <f t="shared" si="2"/>
        <v>27413000</v>
      </c>
      <c r="H15" s="81">
        <f t="shared" si="3"/>
        <v>29792731.684189215</v>
      </c>
    </row>
    <row r="16" spans="1:8" ht="12.75">
      <c r="A16" s="88" t="s">
        <v>182</v>
      </c>
      <c r="B16" s="19">
        <v>368</v>
      </c>
      <c r="C16" s="89">
        <v>1.3</v>
      </c>
      <c r="D16" s="80">
        <f t="shared" si="0"/>
        <v>368000</v>
      </c>
      <c r="E16" s="19">
        <v>368</v>
      </c>
      <c r="F16" s="81">
        <f t="shared" si="1"/>
        <v>283076.92307692306</v>
      </c>
      <c r="G16" s="80">
        <f t="shared" si="2"/>
        <v>368000</v>
      </c>
      <c r="H16" s="81">
        <f t="shared" si="3"/>
        <v>283076.92307692306</v>
      </c>
    </row>
    <row r="17" spans="1:8" ht="12.75">
      <c r="A17" s="88" t="s">
        <v>183</v>
      </c>
      <c r="B17" s="19">
        <v>977</v>
      </c>
      <c r="C17" s="89">
        <v>16.87675</v>
      </c>
      <c r="D17" s="80">
        <f t="shared" si="0"/>
        <v>977000</v>
      </c>
      <c r="E17" s="19">
        <v>977</v>
      </c>
      <c r="F17" s="81">
        <f t="shared" si="1"/>
        <v>57890.29285851837</v>
      </c>
      <c r="G17" s="80">
        <f t="shared" si="2"/>
        <v>977000</v>
      </c>
      <c r="H17" s="81">
        <f t="shared" si="3"/>
        <v>57890.29285851837</v>
      </c>
    </row>
    <row r="18" spans="1:8" ht="12.75">
      <c r="A18" s="88" t="s">
        <v>184</v>
      </c>
      <c r="B18" s="19">
        <v>1970</v>
      </c>
      <c r="C18" s="89">
        <v>27</v>
      </c>
      <c r="D18" s="80">
        <f t="shared" si="0"/>
        <v>1970000</v>
      </c>
      <c r="E18" s="19">
        <v>1970</v>
      </c>
      <c r="F18" s="81">
        <f t="shared" si="1"/>
        <v>72962.96296296296</v>
      </c>
      <c r="G18" s="80">
        <f t="shared" si="2"/>
        <v>1970000</v>
      </c>
      <c r="H18" s="81">
        <f t="shared" si="3"/>
        <v>72962.96296296296</v>
      </c>
    </row>
    <row r="19" spans="1:8" ht="12.75">
      <c r="A19" s="88" t="s">
        <v>185</v>
      </c>
      <c r="B19" s="19">
        <v>1069</v>
      </c>
      <c r="C19" s="89">
        <v>2</v>
      </c>
      <c r="D19" s="80">
        <f t="shared" si="0"/>
        <v>1069000</v>
      </c>
      <c r="E19" s="19">
        <v>1069</v>
      </c>
      <c r="F19" s="81">
        <f t="shared" si="1"/>
        <v>534500</v>
      </c>
      <c r="G19" s="80">
        <f t="shared" si="2"/>
        <v>1069000</v>
      </c>
      <c r="H19" s="81">
        <f t="shared" si="3"/>
        <v>534500</v>
      </c>
    </row>
    <row r="20" spans="1:8" ht="12.75">
      <c r="A20" s="88" t="s">
        <v>186</v>
      </c>
      <c r="B20" s="19">
        <v>13934</v>
      </c>
      <c r="C20" s="89">
        <v>10</v>
      </c>
      <c r="D20" s="80">
        <f t="shared" si="0"/>
        <v>13934000</v>
      </c>
      <c r="E20" s="19">
        <v>13934</v>
      </c>
      <c r="F20" s="81">
        <f t="shared" si="1"/>
        <v>1393400</v>
      </c>
      <c r="G20" s="80">
        <f t="shared" si="2"/>
        <v>13934000</v>
      </c>
      <c r="H20" s="81">
        <f t="shared" si="3"/>
        <v>1393400</v>
      </c>
    </row>
    <row r="21" spans="1:8" ht="12.75">
      <c r="A21" s="88" t="s">
        <v>187</v>
      </c>
      <c r="B21" s="19">
        <v>12710</v>
      </c>
      <c r="C21" s="89">
        <v>2.6068499999999997</v>
      </c>
      <c r="D21" s="80">
        <f t="shared" si="0"/>
        <v>12710000</v>
      </c>
      <c r="E21" s="19">
        <v>12710</v>
      </c>
      <c r="F21" s="81">
        <f t="shared" si="1"/>
        <v>4875616.165103478</v>
      </c>
      <c r="G21" s="80">
        <f t="shared" si="2"/>
        <v>12710000</v>
      </c>
      <c r="H21" s="81">
        <f t="shared" si="3"/>
        <v>4875616.165103478</v>
      </c>
    </row>
    <row r="22" spans="1:8" ht="12.75">
      <c r="A22" s="88" t="s">
        <v>188</v>
      </c>
      <c r="B22" s="19">
        <v>8680</v>
      </c>
      <c r="C22" s="89">
        <v>0.5</v>
      </c>
      <c r="D22" s="80">
        <f t="shared" si="0"/>
        <v>8680000</v>
      </c>
      <c r="E22" s="19">
        <v>8681</v>
      </c>
      <c r="F22" s="81">
        <f t="shared" si="1"/>
        <v>17360000</v>
      </c>
      <c r="G22" s="80">
        <f t="shared" si="2"/>
        <v>8681000</v>
      </c>
      <c r="H22" s="81">
        <f t="shared" si="3"/>
        <v>17362000</v>
      </c>
    </row>
    <row r="23" spans="1:8" ht="12.75">
      <c r="A23" s="88" t="s">
        <v>189</v>
      </c>
      <c r="B23" s="19">
        <v>8784</v>
      </c>
      <c r="C23" s="89">
        <v>2.100595</v>
      </c>
      <c r="D23" s="80">
        <f t="shared" si="0"/>
        <v>8784000</v>
      </c>
      <c r="E23" s="19">
        <v>8784</v>
      </c>
      <c r="F23" s="81">
        <f t="shared" si="1"/>
        <v>4181672.335695362</v>
      </c>
      <c r="G23" s="80">
        <f t="shared" si="2"/>
        <v>8784000</v>
      </c>
      <c r="H23" s="81">
        <f t="shared" si="3"/>
        <v>4181672.335695362</v>
      </c>
    </row>
    <row r="24" spans="1:8" ht="12.75">
      <c r="A24" s="88" t="s">
        <v>190</v>
      </c>
      <c r="B24" s="19">
        <v>27210</v>
      </c>
      <c r="C24" s="89">
        <v>3.1</v>
      </c>
      <c r="D24" s="80">
        <f t="shared" si="0"/>
        <v>27210000</v>
      </c>
      <c r="E24" s="19">
        <v>27210</v>
      </c>
      <c r="F24" s="81">
        <f t="shared" si="1"/>
        <v>8777419.35483871</v>
      </c>
      <c r="G24" s="80">
        <f t="shared" si="2"/>
        <v>27210000</v>
      </c>
      <c r="H24" s="81">
        <f t="shared" si="3"/>
        <v>8777419.35483871</v>
      </c>
    </row>
    <row r="25" spans="1:8" ht="12.75">
      <c r="A25" s="88" t="s">
        <v>191</v>
      </c>
      <c r="B25" s="19">
        <v>28367</v>
      </c>
      <c r="C25" s="89">
        <v>2.8</v>
      </c>
      <c r="D25" s="80">
        <f t="shared" si="0"/>
        <v>28367000</v>
      </c>
      <c r="E25" s="19">
        <v>28367</v>
      </c>
      <c r="F25" s="81">
        <f t="shared" si="1"/>
        <v>10131071.42857143</v>
      </c>
      <c r="G25" s="80">
        <f t="shared" si="2"/>
        <v>28367000</v>
      </c>
      <c r="H25" s="81">
        <f t="shared" si="3"/>
        <v>10131071.42857143</v>
      </c>
    </row>
    <row r="26" spans="1:8" ht="12.75">
      <c r="A26" s="88" t="s">
        <v>192</v>
      </c>
      <c r="B26" s="19">
        <v>3913</v>
      </c>
      <c r="C26" s="89">
        <v>3.825</v>
      </c>
      <c r="D26" s="80">
        <f t="shared" si="0"/>
        <v>3913000</v>
      </c>
      <c r="E26" s="19">
        <v>3913</v>
      </c>
      <c r="F26" s="81">
        <f t="shared" si="1"/>
        <v>1023006.5359477124</v>
      </c>
      <c r="G26" s="80">
        <f t="shared" si="2"/>
        <v>3913000</v>
      </c>
      <c r="H26" s="81">
        <f t="shared" si="3"/>
        <v>1023006.5359477124</v>
      </c>
    </row>
    <row r="27" spans="1:8" ht="12.75">
      <c r="A27" s="88" t="s">
        <v>193</v>
      </c>
      <c r="B27" s="19">
        <v>4270</v>
      </c>
      <c r="C27" s="89">
        <v>4.65375</v>
      </c>
      <c r="D27" s="80">
        <f t="shared" si="0"/>
        <v>4270000</v>
      </c>
      <c r="E27" s="19">
        <v>4270</v>
      </c>
      <c r="F27" s="81">
        <f t="shared" si="1"/>
        <v>917539.618587161</v>
      </c>
      <c r="G27" s="80">
        <f t="shared" si="2"/>
        <v>4270000</v>
      </c>
      <c r="H27" s="81">
        <f t="shared" si="3"/>
        <v>917539.618587161</v>
      </c>
    </row>
    <row r="28" spans="1:8" ht="12.75">
      <c r="A28" s="88" t="s">
        <v>194</v>
      </c>
      <c r="B28" s="19">
        <v>72205</v>
      </c>
      <c r="C28" s="89">
        <v>2.637125</v>
      </c>
      <c r="D28" s="80">
        <f t="shared" si="0"/>
        <v>72205000</v>
      </c>
      <c r="E28" s="19">
        <v>72205</v>
      </c>
      <c r="F28" s="81">
        <f t="shared" si="1"/>
        <v>27380196.236431718</v>
      </c>
      <c r="G28" s="80">
        <f t="shared" si="2"/>
        <v>72205000</v>
      </c>
      <c r="H28" s="81">
        <f t="shared" si="3"/>
        <v>27380196.236431718</v>
      </c>
    </row>
    <row r="29" spans="1:8" ht="12.75">
      <c r="A29" s="88" t="s">
        <v>195</v>
      </c>
      <c r="B29" s="19">
        <v>329150</v>
      </c>
      <c r="C29" s="89">
        <v>3.25875</v>
      </c>
      <c r="D29" s="80">
        <f t="shared" si="0"/>
        <v>329150000</v>
      </c>
      <c r="E29" s="19">
        <v>329150</v>
      </c>
      <c r="F29" s="81">
        <f t="shared" si="1"/>
        <v>101004986.57460682</v>
      </c>
      <c r="G29" s="80">
        <f t="shared" si="2"/>
        <v>329150000</v>
      </c>
      <c r="H29" s="81">
        <f t="shared" si="3"/>
        <v>101004986.57460682</v>
      </c>
    </row>
    <row r="30" spans="1:8" ht="12.75">
      <c r="A30" s="88" t="s">
        <v>196</v>
      </c>
      <c r="B30" s="19">
        <v>6313</v>
      </c>
      <c r="C30" s="89">
        <v>1.87</v>
      </c>
      <c r="D30" s="80">
        <f t="shared" si="0"/>
        <v>6313000</v>
      </c>
      <c r="E30" s="19">
        <v>6313</v>
      </c>
      <c r="F30" s="81">
        <f t="shared" si="1"/>
        <v>3375935.8288770053</v>
      </c>
      <c r="G30" s="80">
        <f t="shared" si="2"/>
        <v>6313000</v>
      </c>
      <c r="H30" s="81">
        <f t="shared" si="3"/>
        <v>3375935.8288770053</v>
      </c>
    </row>
    <row r="31" spans="1:8" ht="12.75">
      <c r="A31" s="88" t="s">
        <v>197</v>
      </c>
      <c r="B31" s="19">
        <v>4969</v>
      </c>
      <c r="C31" s="89">
        <v>1.9194849999999999</v>
      </c>
      <c r="D31" s="80">
        <f t="shared" si="0"/>
        <v>4969000</v>
      </c>
      <c r="E31" s="19">
        <v>4969</v>
      </c>
      <c r="F31" s="81">
        <f t="shared" si="1"/>
        <v>2588715.2022547717</v>
      </c>
      <c r="G31" s="80">
        <f t="shared" si="2"/>
        <v>4969000</v>
      </c>
      <c r="H31" s="81">
        <f t="shared" si="3"/>
        <v>2588715.2022547717</v>
      </c>
    </row>
    <row r="32" spans="1:8" ht="12.75">
      <c r="A32" s="88" t="s">
        <v>198</v>
      </c>
      <c r="B32" s="19">
        <v>45848</v>
      </c>
      <c r="C32" s="89">
        <v>3.0273516666666667</v>
      </c>
      <c r="D32" s="80">
        <f t="shared" si="0"/>
        <v>45848000</v>
      </c>
      <c r="E32" s="19">
        <v>45849</v>
      </c>
      <c r="F32" s="81">
        <f t="shared" si="1"/>
        <v>15144590.073502088</v>
      </c>
      <c r="G32" s="80">
        <f t="shared" si="2"/>
        <v>45849000</v>
      </c>
      <c r="H32" s="81">
        <f t="shared" si="3"/>
        <v>15144920.395218924</v>
      </c>
    </row>
    <row r="33" spans="1:8" ht="12.75">
      <c r="A33" s="88" t="s">
        <v>199</v>
      </c>
      <c r="B33" s="19">
        <v>60640</v>
      </c>
      <c r="C33" s="89">
        <v>42.5</v>
      </c>
      <c r="D33" s="80">
        <f t="shared" si="0"/>
        <v>60640000</v>
      </c>
      <c r="E33" s="19">
        <v>60640</v>
      </c>
      <c r="F33" s="81">
        <f t="shared" si="1"/>
        <v>1426823.5294117648</v>
      </c>
      <c r="G33" s="80">
        <f t="shared" si="2"/>
        <v>60640000</v>
      </c>
      <c r="H33" s="81">
        <f t="shared" si="3"/>
        <v>1426823.5294117648</v>
      </c>
    </row>
    <row r="34" spans="1:8" ht="12.75">
      <c r="A34" s="88" t="s">
        <v>200</v>
      </c>
      <c r="B34" s="19">
        <v>10276</v>
      </c>
      <c r="C34" s="89">
        <v>10</v>
      </c>
      <c r="D34" s="80">
        <f t="shared" si="0"/>
        <v>10276000</v>
      </c>
      <c r="E34" s="19">
        <v>10278</v>
      </c>
      <c r="F34" s="81">
        <f t="shared" si="1"/>
        <v>1027600</v>
      </c>
      <c r="G34" s="80">
        <f t="shared" si="2"/>
        <v>10278000</v>
      </c>
      <c r="H34" s="81">
        <f t="shared" si="3"/>
        <v>1027800</v>
      </c>
    </row>
    <row r="35" spans="1:8" ht="12.75">
      <c r="A35" s="88" t="s">
        <v>201</v>
      </c>
      <c r="B35" s="19">
        <v>3316</v>
      </c>
      <c r="C35" s="89">
        <v>3.75</v>
      </c>
      <c r="D35" s="80">
        <f aca="true" t="shared" si="4" ref="D35:D66">1000*B35</f>
        <v>3316000</v>
      </c>
      <c r="E35" s="19">
        <v>3315</v>
      </c>
      <c r="F35" s="81">
        <f aca="true" t="shared" si="5" ref="F35:F66">D35/C35</f>
        <v>884266.6666666666</v>
      </c>
      <c r="G35" s="80">
        <f aca="true" t="shared" si="6" ref="G35:G66">1000*E35</f>
        <v>3315000</v>
      </c>
      <c r="H35" s="81">
        <f aca="true" t="shared" si="7" ref="H35:H66">G35/C35</f>
        <v>884000</v>
      </c>
    </row>
    <row r="36" spans="1:8" ht="12.75">
      <c r="A36" s="88" t="s">
        <v>202</v>
      </c>
      <c r="B36" s="19">
        <v>499598</v>
      </c>
      <c r="C36" s="89">
        <v>2.1</v>
      </c>
      <c r="D36" s="80">
        <f t="shared" si="4"/>
        <v>499598000</v>
      </c>
      <c r="E36" s="19">
        <v>499598</v>
      </c>
      <c r="F36" s="81">
        <f t="shared" si="5"/>
        <v>237903809.52380952</v>
      </c>
      <c r="G36" s="80">
        <f t="shared" si="6"/>
        <v>499598000</v>
      </c>
      <c r="H36" s="81">
        <f t="shared" si="7"/>
        <v>237903809.52380952</v>
      </c>
    </row>
    <row r="37" spans="1:8" ht="12.75">
      <c r="A37" s="88" t="s">
        <v>203</v>
      </c>
      <c r="B37" s="19">
        <v>2929</v>
      </c>
      <c r="C37" s="89">
        <v>4.343500000000001</v>
      </c>
      <c r="D37" s="80">
        <f t="shared" si="4"/>
        <v>2929000</v>
      </c>
      <c r="E37" s="19">
        <v>2929</v>
      </c>
      <c r="F37" s="81">
        <f t="shared" si="5"/>
        <v>674340.969264418</v>
      </c>
      <c r="G37" s="80">
        <f t="shared" si="6"/>
        <v>2929000</v>
      </c>
      <c r="H37" s="81">
        <f t="shared" si="7"/>
        <v>674340.969264418</v>
      </c>
    </row>
    <row r="38" spans="1:8" ht="12.75">
      <c r="A38" s="88" t="s">
        <v>204</v>
      </c>
      <c r="B38" s="19">
        <v>34248</v>
      </c>
      <c r="C38" s="89">
        <v>2.192083333333333</v>
      </c>
      <c r="D38" s="80">
        <f t="shared" si="4"/>
        <v>34248000</v>
      </c>
      <c r="E38" s="19">
        <v>34248</v>
      </c>
      <c r="F38" s="81">
        <f t="shared" si="5"/>
        <v>15623493.632389281</v>
      </c>
      <c r="G38" s="80">
        <f t="shared" si="6"/>
        <v>34248000</v>
      </c>
      <c r="H38" s="81">
        <f t="shared" si="7"/>
        <v>15623493.632389281</v>
      </c>
    </row>
    <row r="39" spans="1:8" ht="12.75">
      <c r="A39" s="88" t="s">
        <v>205</v>
      </c>
      <c r="B39" s="19">
        <v>4897</v>
      </c>
      <c r="C39" s="89">
        <v>39.1</v>
      </c>
      <c r="D39" s="80">
        <f t="shared" si="4"/>
        <v>4897000</v>
      </c>
      <c r="E39" s="19">
        <v>4897</v>
      </c>
      <c r="F39" s="81">
        <f t="shared" si="5"/>
        <v>125242.96675191815</v>
      </c>
      <c r="G39" s="80">
        <f t="shared" si="6"/>
        <v>4897000</v>
      </c>
      <c r="H39" s="81">
        <f t="shared" si="7"/>
        <v>125242.96675191815</v>
      </c>
    </row>
    <row r="40" spans="1:8" ht="12.75">
      <c r="A40" s="88" t="s">
        <v>206</v>
      </c>
      <c r="B40" s="19">
        <v>69864</v>
      </c>
      <c r="C40" s="89">
        <v>29.5</v>
      </c>
      <c r="D40" s="80">
        <f t="shared" si="4"/>
        <v>69864000</v>
      </c>
      <c r="E40" s="19">
        <v>70232</v>
      </c>
      <c r="F40" s="81">
        <f t="shared" si="5"/>
        <v>2368271.186440678</v>
      </c>
      <c r="G40" s="80">
        <f t="shared" si="6"/>
        <v>70232000</v>
      </c>
      <c r="H40" s="81">
        <f t="shared" si="7"/>
        <v>2380745.7627118644</v>
      </c>
    </row>
    <row r="41" spans="1:8" ht="12.75">
      <c r="A41" s="88" t="s">
        <v>207</v>
      </c>
      <c r="B41" s="19">
        <v>211010</v>
      </c>
      <c r="C41" s="89">
        <v>0.625</v>
      </c>
      <c r="D41" s="80">
        <f t="shared" si="4"/>
        <v>211010000</v>
      </c>
      <c r="E41" s="19">
        <v>215425</v>
      </c>
      <c r="F41" s="81">
        <f t="shared" si="5"/>
        <v>337616000</v>
      </c>
      <c r="G41" s="80">
        <f t="shared" si="6"/>
        <v>215425000</v>
      </c>
      <c r="H41" s="81">
        <f t="shared" si="7"/>
        <v>344680000</v>
      </c>
    </row>
    <row r="42" spans="1:8" ht="12.75">
      <c r="A42" s="88" t="s">
        <v>208</v>
      </c>
      <c r="B42" s="19">
        <v>136861</v>
      </c>
      <c r="C42" s="89">
        <v>0.625</v>
      </c>
      <c r="D42" s="80">
        <f t="shared" si="4"/>
        <v>136861000</v>
      </c>
      <c r="E42" s="19">
        <v>136861</v>
      </c>
      <c r="F42" s="81">
        <f t="shared" si="5"/>
        <v>218977600</v>
      </c>
      <c r="G42" s="80">
        <f t="shared" si="6"/>
        <v>136861000</v>
      </c>
      <c r="H42" s="81">
        <f t="shared" si="7"/>
        <v>218977600</v>
      </c>
    </row>
    <row r="43" spans="1:8" ht="12.75">
      <c r="A43" s="88" t="s">
        <v>209</v>
      </c>
      <c r="B43" s="19">
        <v>16641</v>
      </c>
      <c r="C43" s="89">
        <v>0.625</v>
      </c>
      <c r="D43" s="80">
        <f t="shared" si="4"/>
        <v>16641000</v>
      </c>
      <c r="E43" s="19">
        <v>16641</v>
      </c>
      <c r="F43" s="81">
        <f t="shared" si="5"/>
        <v>26625600</v>
      </c>
      <c r="G43" s="80">
        <f t="shared" si="6"/>
        <v>16641000</v>
      </c>
      <c r="H43" s="81">
        <f t="shared" si="7"/>
        <v>26625600</v>
      </c>
    </row>
    <row r="44" spans="1:8" ht="12.75">
      <c r="A44" s="88" t="s">
        <v>210</v>
      </c>
      <c r="B44" s="19">
        <v>2557</v>
      </c>
      <c r="C44" s="89">
        <v>3.257625</v>
      </c>
      <c r="D44" s="80">
        <f t="shared" si="4"/>
        <v>2557000</v>
      </c>
      <c r="E44" s="19">
        <v>2556</v>
      </c>
      <c r="F44" s="81">
        <f t="shared" si="5"/>
        <v>784927.6696980163</v>
      </c>
      <c r="G44" s="80">
        <f t="shared" si="6"/>
        <v>2556000</v>
      </c>
      <c r="H44" s="81">
        <f t="shared" si="7"/>
        <v>784620.6975941061</v>
      </c>
    </row>
    <row r="45" spans="1:8" ht="12.75">
      <c r="A45" s="88" t="s">
        <v>211</v>
      </c>
      <c r="B45" s="19">
        <v>4164</v>
      </c>
      <c r="C45" s="89">
        <v>39.094625</v>
      </c>
      <c r="D45" s="80">
        <f t="shared" si="4"/>
        <v>4164000</v>
      </c>
      <c r="E45" s="19">
        <v>4163</v>
      </c>
      <c r="F45" s="81">
        <f t="shared" si="5"/>
        <v>106510.80551354565</v>
      </c>
      <c r="G45" s="80">
        <f t="shared" si="6"/>
        <v>4163000</v>
      </c>
      <c r="H45" s="81">
        <f t="shared" si="7"/>
        <v>106485.22654968554</v>
      </c>
    </row>
    <row r="46" spans="1:8" ht="12.75">
      <c r="A46" s="88" t="s">
        <v>212</v>
      </c>
      <c r="B46" s="19">
        <v>33940</v>
      </c>
      <c r="C46" s="89">
        <v>1.6073333333333333</v>
      </c>
      <c r="D46" s="80">
        <f t="shared" si="4"/>
        <v>33940000</v>
      </c>
      <c r="E46" s="19">
        <v>33939</v>
      </c>
      <c r="F46" s="81">
        <f t="shared" si="5"/>
        <v>21115719.618415594</v>
      </c>
      <c r="G46" s="80">
        <f t="shared" si="6"/>
        <v>33939000</v>
      </c>
      <c r="H46" s="81">
        <f t="shared" si="7"/>
        <v>21115097.46992949</v>
      </c>
    </row>
    <row r="47" spans="1:8" ht="12.75">
      <c r="A47" s="88" t="s">
        <v>213</v>
      </c>
      <c r="B47" s="19">
        <v>40558</v>
      </c>
      <c r="C47" s="89">
        <v>0.372</v>
      </c>
      <c r="D47" s="80">
        <f t="shared" si="4"/>
        <v>40558000</v>
      </c>
      <c r="E47" s="19">
        <v>40559</v>
      </c>
      <c r="F47" s="81">
        <f t="shared" si="5"/>
        <v>109026881.7204301</v>
      </c>
      <c r="G47" s="80">
        <f t="shared" si="6"/>
        <v>40559000</v>
      </c>
      <c r="H47" s="81">
        <f t="shared" si="7"/>
        <v>109029569.89247312</v>
      </c>
    </row>
    <row r="48" spans="1:8" ht="12.75">
      <c r="A48" s="88" t="s">
        <v>214</v>
      </c>
      <c r="B48" s="19">
        <v>5544</v>
      </c>
      <c r="C48" s="89">
        <v>9.402666666666667</v>
      </c>
      <c r="D48" s="80">
        <f t="shared" si="4"/>
        <v>5544000</v>
      </c>
      <c r="E48" s="19">
        <v>5544</v>
      </c>
      <c r="F48" s="81">
        <f t="shared" si="5"/>
        <v>589619.9659671015</v>
      </c>
      <c r="G48" s="80">
        <f t="shared" si="6"/>
        <v>5544000</v>
      </c>
      <c r="H48" s="81">
        <f t="shared" si="7"/>
        <v>589619.9659671015</v>
      </c>
    </row>
    <row r="49" spans="1:8" ht="12.75">
      <c r="A49" s="88" t="s">
        <v>215</v>
      </c>
      <c r="B49" s="19">
        <v>3738</v>
      </c>
      <c r="C49" s="89">
        <v>2.507234375</v>
      </c>
      <c r="D49" s="80">
        <f t="shared" si="4"/>
        <v>3738000</v>
      </c>
      <c r="E49" s="19">
        <v>3738</v>
      </c>
      <c r="F49" s="81">
        <f t="shared" si="5"/>
        <v>1490885.7493627814</v>
      </c>
      <c r="G49" s="80">
        <f t="shared" si="6"/>
        <v>3738000</v>
      </c>
      <c r="H49" s="81">
        <f t="shared" si="7"/>
        <v>1490885.7493627814</v>
      </c>
    </row>
    <row r="50" spans="1:8" ht="12.75">
      <c r="A50" s="88" t="s">
        <v>216</v>
      </c>
      <c r="B50" s="19">
        <v>656666</v>
      </c>
      <c r="C50" s="89">
        <v>0.58428</v>
      </c>
      <c r="D50" s="80">
        <f t="shared" si="4"/>
        <v>656666000</v>
      </c>
      <c r="E50" s="19">
        <v>656666</v>
      </c>
      <c r="F50" s="81">
        <f t="shared" si="5"/>
        <v>1123889231.190525</v>
      </c>
      <c r="G50" s="80">
        <f t="shared" si="6"/>
        <v>656666000</v>
      </c>
      <c r="H50" s="81">
        <f t="shared" si="7"/>
        <v>1123889231.190525</v>
      </c>
    </row>
    <row r="51" spans="1:8" ht="12.75">
      <c r="A51" s="88" t="s">
        <v>217</v>
      </c>
      <c r="B51" s="19">
        <v>1371136</v>
      </c>
      <c r="C51" s="89">
        <v>1</v>
      </c>
      <c r="D51" s="80">
        <f t="shared" si="4"/>
        <v>1371136000</v>
      </c>
      <c r="E51" s="19">
        <v>1371136</v>
      </c>
      <c r="F51" s="81">
        <f t="shared" si="5"/>
        <v>1371136000</v>
      </c>
      <c r="G51" s="80">
        <f t="shared" si="6"/>
        <v>1371136000</v>
      </c>
      <c r="H51" s="81">
        <f t="shared" si="7"/>
        <v>1371136000</v>
      </c>
    </row>
    <row r="52" spans="1:8" ht="12.75">
      <c r="A52" s="88" t="s">
        <v>218</v>
      </c>
      <c r="B52" s="19">
        <v>19637</v>
      </c>
      <c r="C52" s="89">
        <v>6.6</v>
      </c>
      <c r="D52" s="80">
        <f t="shared" si="4"/>
        <v>19637000</v>
      </c>
      <c r="E52" s="19">
        <v>19637</v>
      </c>
      <c r="F52" s="81">
        <f t="shared" si="5"/>
        <v>2975303.0303030303</v>
      </c>
      <c r="G52" s="80">
        <f t="shared" si="6"/>
        <v>19637000</v>
      </c>
      <c r="H52" s="81">
        <f t="shared" si="7"/>
        <v>2975303.0303030303</v>
      </c>
    </row>
    <row r="53" spans="1:8" ht="13.5" thickBot="1">
      <c r="A53" s="121" t="s">
        <v>219</v>
      </c>
      <c r="B53" s="139">
        <v>553</v>
      </c>
      <c r="C53" s="140">
        <v>2</v>
      </c>
      <c r="D53" s="141">
        <f t="shared" si="4"/>
        <v>553000</v>
      </c>
      <c r="E53" s="139">
        <v>553</v>
      </c>
      <c r="F53" s="142">
        <f t="shared" si="5"/>
        <v>276500</v>
      </c>
      <c r="G53" s="141">
        <f t="shared" si="6"/>
        <v>553000</v>
      </c>
      <c r="H53" s="142">
        <f t="shared" si="7"/>
        <v>276500</v>
      </c>
    </row>
    <row r="54" spans="1:8" ht="12.75">
      <c r="A54" s="86" t="s">
        <v>220</v>
      </c>
      <c r="B54" s="78">
        <v>43166</v>
      </c>
      <c r="C54" s="87">
        <v>0.9275</v>
      </c>
      <c r="D54" s="77">
        <f t="shared" si="4"/>
        <v>43166000</v>
      </c>
      <c r="E54" s="78">
        <v>43166</v>
      </c>
      <c r="F54" s="79">
        <f t="shared" si="5"/>
        <v>46540161.725067385</v>
      </c>
      <c r="G54" s="77">
        <f t="shared" si="6"/>
        <v>43166000</v>
      </c>
      <c r="H54" s="79">
        <f t="shared" si="7"/>
        <v>46540161.725067385</v>
      </c>
    </row>
    <row r="55" spans="1:8" ht="12.75">
      <c r="A55" s="88" t="s">
        <v>221</v>
      </c>
      <c r="B55" s="19">
        <v>9372</v>
      </c>
      <c r="C55" s="89">
        <v>29.301624999999998</v>
      </c>
      <c r="D55" s="80">
        <f t="shared" si="4"/>
        <v>9372000</v>
      </c>
      <c r="E55" s="19">
        <v>9372</v>
      </c>
      <c r="F55" s="81">
        <f t="shared" si="5"/>
        <v>319845.74234364135</v>
      </c>
      <c r="G55" s="80">
        <f t="shared" si="6"/>
        <v>9372000</v>
      </c>
      <c r="H55" s="81">
        <f t="shared" si="7"/>
        <v>319845.74234364135</v>
      </c>
    </row>
    <row r="56" spans="1:8" ht="12.75">
      <c r="A56" s="88" t="s">
        <v>222</v>
      </c>
      <c r="B56" s="19">
        <v>2512455</v>
      </c>
      <c r="C56" s="89">
        <v>9.35</v>
      </c>
      <c r="D56" s="80">
        <f t="shared" si="4"/>
        <v>2512455000</v>
      </c>
      <c r="E56" s="19">
        <v>2512455</v>
      </c>
      <c r="F56" s="81">
        <f t="shared" si="5"/>
        <v>268711764.7058824</v>
      </c>
      <c r="G56" s="80">
        <f t="shared" si="6"/>
        <v>2512455000</v>
      </c>
      <c r="H56" s="81">
        <f t="shared" si="7"/>
        <v>268711764.7058824</v>
      </c>
    </row>
    <row r="57" spans="1:8" ht="12.75">
      <c r="A57" s="88" t="s">
        <v>223</v>
      </c>
      <c r="B57" s="19">
        <v>1596</v>
      </c>
      <c r="C57" s="89">
        <v>8.3385</v>
      </c>
      <c r="D57" s="80">
        <f t="shared" si="4"/>
        <v>1596000</v>
      </c>
      <c r="E57" s="19">
        <v>1596</v>
      </c>
      <c r="F57" s="81">
        <f t="shared" si="5"/>
        <v>191401.3311746717</v>
      </c>
      <c r="G57" s="80">
        <f t="shared" si="6"/>
        <v>1596000</v>
      </c>
      <c r="H57" s="81">
        <f t="shared" si="7"/>
        <v>191401.3311746717</v>
      </c>
    </row>
    <row r="58" spans="1:8" ht="12.75">
      <c r="A58" s="88" t="s">
        <v>224</v>
      </c>
      <c r="B58" s="19">
        <v>2782</v>
      </c>
      <c r="C58" s="89">
        <v>4.031625</v>
      </c>
      <c r="D58" s="80">
        <f t="shared" si="4"/>
        <v>2782000</v>
      </c>
      <c r="E58" s="19">
        <v>2782</v>
      </c>
      <c r="F58" s="81">
        <f t="shared" si="5"/>
        <v>690044.3369609029</v>
      </c>
      <c r="G58" s="80">
        <f t="shared" si="6"/>
        <v>2782000</v>
      </c>
      <c r="H58" s="81">
        <f t="shared" si="7"/>
        <v>690044.3369609029</v>
      </c>
    </row>
    <row r="59" spans="1:8" ht="12.75">
      <c r="A59" s="88" t="s">
        <v>225</v>
      </c>
      <c r="B59" s="19">
        <v>4079</v>
      </c>
      <c r="C59" s="89">
        <v>5.5</v>
      </c>
      <c r="D59" s="80">
        <f t="shared" si="4"/>
        <v>4079000</v>
      </c>
      <c r="E59" s="19">
        <v>4079</v>
      </c>
      <c r="F59" s="81">
        <f t="shared" si="5"/>
        <v>741636.3636363636</v>
      </c>
      <c r="G59" s="80">
        <f t="shared" si="6"/>
        <v>4079000</v>
      </c>
      <c r="H59" s="81">
        <f t="shared" si="7"/>
        <v>741636.3636363636</v>
      </c>
    </row>
    <row r="60" spans="1:8" ht="12.75">
      <c r="A60" s="88" t="s">
        <v>226</v>
      </c>
      <c r="B60" s="19">
        <v>17088</v>
      </c>
      <c r="C60" s="89">
        <v>5.3</v>
      </c>
      <c r="D60" s="80">
        <f t="shared" si="4"/>
        <v>17088000</v>
      </c>
      <c r="E60" s="19">
        <v>17088</v>
      </c>
      <c r="F60" s="81">
        <f t="shared" si="5"/>
        <v>3224150.9433962265</v>
      </c>
      <c r="G60" s="80">
        <f t="shared" si="6"/>
        <v>17088000</v>
      </c>
      <c r="H60" s="81">
        <f t="shared" si="7"/>
        <v>3224150.9433962265</v>
      </c>
    </row>
    <row r="61" spans="1:8" ht="12.75">
      <c r="A61" s="88" t="s">
        <v>227</v>
      </c>
      <c r="B61" s="19">
        <v>6051</v>
      </c>
      <c r="C61" s="89">
        <v>2.92859375</v>
      </c>
      <c r="D61" s="80">
        <f t="shared" si="4"/>
        <v>6051000</v>
      </c>
      <c r="E61" s="19">
        <v>6051</v>
      </c>
      <c r="F61" s="81">
        <f t="shared" si="5"/>
        <v>2066179.373632823</v>
      </c>
      <c r="G61" s="80">
        <f t="shared" si="6"/>
        <v>6051000</v>
      </c>
      <c r="H61" s="81">
        <f t="shared" si="7"/>
        <v>2066179.373632823</v>
      </c>
    </row>
    <row r="62" spans="1:8" ht="12.75">
      <c r="A62" s="88" t="s">
        <v>228</v>
      </c>
      <c r="B62" s="19">
        <v>85392</v>
      </c>
      <c r="C62" s="89">
        <v>1.217</v>
      </c>
      <c r="D62" s="80">
        <f t="shared" si="4"/>
        <v>85392000</v>
      </c>
      <c r="E62" s="19">
        <v>85392</v>
      </c>
      <c r="F62" s="81">
        <f t="shared" si="5"/>
        <v>70165981.92276089</v>
      </c>
      <c r="G62" s="80">
        <f t="shared" si="6"/>
        <v>85392000</v>
      </c>
      <c r="H62" s="81">
        <f t="shared" si="7"/>
        <v>70165981.92276089</v>
      </c>
    </row>
    <row r="63" spans="1:8" ht="12.75">
      <c r="A63" s="88" t="s">
        <v>229</v>
      </c>
      <c r="B63" s="19">
        <v>52925</v>
      </c>
      <c r="C63" s="89">
        <v>25</v>
      </c>
      <c r="D63" s="80">
        <f t="shared" si="4"/>
        <v>52925000</v>
      </c>
      <c r="E63" s="19">
        <v>52925</v>
      </c>
      <c r="F63" s="81">
        <f t="shared" si="5"/>
        <v>2117000</v>
      </c>
      <c r="G63" s="80">
        <f t="shared" si="6"/>
        <v>52925000</v>
      </c>
      <c r="H63" s="81">
        <f t="shared" si="7"/>
        <v>2117000</v>
      </c>
    </row>
    <row r="64" spans="1:8" ht="12.75">
      <c r="A64" s="88" t="s">
        <v>230</v>
      </c>
      <c r="B64" s="19">
        <v>21772</v>
      </c>
      <c r="C64" s="89">
        <v>17.5</v>
      </c>
      <c r="D64" s="80">
        <f t="shared" si="4"/>
        <v>21772000</v>
      </c>
      <c r="E64" s="19">
        <v>21773</v>
      </c>
      <c r="F64" s="81">
        <f t="shared" si="5"/>
        <v>1244114.2857142857</v>
      </c>
      <c r="G64" s="80">
        <f t="shared" si="6"/>
        <v>21773000</v>
      </c>
      <c r="H64" s="81">
        <f t="shared" si="7"/>
        <v>1244171.4285714286</v>
      </c>
    </row>
    <row r="65" spans="1:8" ht="12.75">
      <c r="A65" s="88" t="s">
        <v>231</v>
      </c>
      <c r="B65" s="19">
        <v>103163</v>
      </c>
      <c r="C65" s="89">
        <v>13.705</v>
      </c>
      <c r="D65" s="80">
        <f t="shared" si="4"/>
        <v>103163000</v>
      </c>
      <c r="E65" s="19">
        <v>103164</v>
      </c>
      <c r="F65" s="81">
        <f t="shared" si="5"/>
        <v>7527398.759576797</v>
      </c>
      <c r="G65" s="80">
        <f t="shared" si="6"/>
        <v>103164000</v>
      </c>
      <c r="H65" s="81">
        <f t="shared" si="7"/>
        <v>7527471.725647574</v>
      </c>
    </row>
    <row r="66" spans="1:8" ht="12.75">
      <c r="A66" s="88" t="s">
        <v>232</v>
      </c>
      <c r="B66" s="19">
        <v>226995</v>
      </c>
      <c r="C66" s="89">
        <v>3.9711999999999996</v>
      </c>
      <c r="D66" s="80">
        <f t="shared" si="4"/>
        <v>226995000</v>
      </c>
      <c r="E66" s="19">
        <v>226995</v>
      </c>
      <c r="F66" s="81">
        <f t="shared" si="5"/>
        <v>57160304.19016922</v>
      </c>
      <c r="G66" s="80">
        <f t="shared" si="6"/>
        <v>226995000</v>
      </c>
      <c r="H66" s="81">
        <f t="shared" si="7"/>
        <v>57160304.19016922</v>
      </c>
    </row>
    <row r="67" spans="1:8" ht="12.75">
      <c r="A67" s="88" t="s">
        <v>233</v>
      </c>
      <c r="B67" s="19">
        <v>192460</v>
      </c>
      <c r="C67" s="89">
        <v>5</v>
      </c>
      <c r="D67" s="80">
        <f aca="true" t="shared" si="8" ref="D67:D98">1000*B67</f>
        <v>192460000</v>
      </c>
      <c r="E67" s="19">
        <v>192460</v>
      </c>
      <c r="F67" s="81">
        <f aca="true" t="shared" si="9" ref="F67:F98">D67/C67</f>
        <v>38492000</v>
      </c>
      <c r="G67" s="80">
        <f aca="true" t="shared" si="10" ref="G67:G98">1000*E67</f>
        <v>192460000</v>
      </c>
      <c r="H67" s="81">
        <f aca="true" t="shared" si="11" ref="H67:H98">G67/C67</f>
        <v>38492000</v>
      </c>
    </row>
    <row r="68" spans="1:8" ht="12.75">
      <c r="A68" s="88" t="s">
        <v>234</v>
      </c>
      <c r="B68" s="19">
        <v>23268</v>
      </c>
      <c r="C68" s="89">
        <v>11.53375</v>
      </c>
      <c r="D68" s="80">
        <f t="shared" si="8"/>
        <v>23268000</v>
      </c>
      <c r="E68" s="19">
        <v>23268</v>
      </c>
      <c r="F68" s="81">
        <f t="shared" si="9"/>
        <v>2017383.7650373904</v>
      </c>
      <c r="G68" s="80">
        <f t="shared" si="10"/>
        <v>23268000</v>
      </c>
      <c r="H68" s="81">
        <f t="shared" si="11"/>
        <v>2017383.7650373904</v>
      </c>
    </row>
    <row r="69" spans="1:8" ht="12.75">
      <c r="A69" s="88" t="s">
        <v>235</v>
      </c>
      <c r="B69" s="19">
        <v>94393</v>
      </c>
      <c r="C69" s="89">
        <v>0.18028659611992945</v>
      </c>
      <c r="D69" s="80">
        <f t="shared" si="8"/>
        <v>94393000</v>
      </c>
      <c r="E69" s="19">
        <v>94393</v>
      </c>
      <c r="F69" s="81">
        <f t="shared" si="9"/>
        <v>523571923.989337</v>
      </c>
      <c r="G69" s="80">
        <f t="shared" si="10"/>
        <v>94393000</v>
      </c>
      <c r="H69" s="81">
        <f t="shared" si="11"/>
        <v>523571923.989337</v>
      </c>
    </row>
    <row r="70" spans="1:8" ht="12.75">
      <c r="A70" s="88" t="s">
        <v>236</v>
      </c>
      <c r="B70" s="19">
        <v>1128</v>
      </c>
      <c r="C70" s="89">
        <v>0.18981784611992944</v>
      </c>
      <c r="D70" s="80">
        <f t="shared" si="8"/>
        <v>1128000</v>
      </c>
      <c r="E70" s="19">
        <v>1128</v>
      </c>
      <c r="F70" s="81">
        <f t="shared" si="9"/>
        <v>5942539.245163042</v>
      </c>
      <c r="G70" s="80">
        <f t="shared" si="10"/>
        <v>1128000</v>
      </c>
      <c r="H70" s="81">
        <f t="shared" si="11"/>
        <v>5942539.245163042</v>
      </c>
    </row>
    <row r="71" spans="1:8" ht="12.75">
      <c r="A71" s="88" t="s">
        <v>237</v>
      </c>
      <c r="B71" s="19">
        <v>5718</v>
      </c>
      <c r="C71" s="89">
        <v>2.2413333333333334</v>
      </c>
      <c r="D71" s="80">
        <f t="shared" si="8"/>
        <v>5718000</v>
      </c>
      <c r="E71" s="19">
        <v>5717</v>
      </c>
      <c r="F71" s="81">
        <f t="shared" si="9"/>
        <v>2551160.02379536</v>
      </c>
      <c r="G71" s="80">
        <f t="shared" si="10"/>
        <v>5717000</v>
      </c>
      <c r="H71" s="81">
        <f t="shared" si="11"/>
        <v>2550713.8607971445</v>
      </c>
    </row>
    <row r="72" spans="1:8" ht="12.75">
      <c r="A72" s="88" t="s">
        <v>238</v>
      </c>
      <c r="B72" s="19">
        <v>3506</v>
      </c>
      <c r="C72" s="89">
        <v>3.077</v>
      </c>
      <c r="D72" s="80">
        <f t="shared" si="8"/>
        <v>3506000</v>
      </c>
      <c r="E72" s="19">
        <v>3506</v>
      </c>
      <c r="F72" s="81">
        <f t="shared" si="9"/>
        <v>1139421.5144621385</v>
      </c>
      <c r="G72" s="80">
        <f t="shared" si="10"/>
        <v>3506000</v>
      </c>
      <c r="H72" s="81">
        <f t="shared" si="11"/>
        <v>1139421.5144621385</v>
      </c>
    </row>
    <row r="73" spans="1:8" ht="12.75">
      <c r="A73" s="88" t="s">
        <v>239</v>
      </c>
      <c r="B73" s="19">
        <v>62</v>
      </c>
      <c r="C73" s="89">
        <v>37.5</v>
      </c>
      <c r="D73" s="80">
        <f t="shared" si="8"/>
        <v>62000</v>
      </c>
      <c r="E73" s="19">
        <v>62</v>
      </c>
      <c r="F73" s="81">
        <f t="shared" si="9"/>
        <v>1653.3333333333333</v>
      </c>
      <c r="G73" s="80">
        <f t="shared" si="10"/>
        <v>62000</v>
      </c>
      <c r="H73" s="81">
        <f t="shared" si="11"/>
        <v>1653.3333333333333</v>
      </c>
    </row>
    <row r="74" spans="1:8" ht="12.75">
      <c r="A74" s="88" t="s">
        <v>240</v>
      </c>
      <c r="B74" s="19">
        <v>7314</v>
      </c>
      <c r="C74" s="89">
        <v>14.25</v>
      </c>
      <c r="D74" s="80">
        <f t="shared" si="8"/>
        <v>7314000</v>
      </c>
      <c r="E74" s="19">
        <v>7314</v>
      </c>
      <c r="F74" s="81">
        <f t="shared" si="9"/>
        <v>513263.15789473685</v>
      </c>
      <c r="G74" s="80">
        <f t="shared" si="10"/>
        <v>7314000</v>
      </c>
      <c r="H74" s="81">
        <f t="shared" si="11"/>
        <v>513263.15789473685</v>
      </c>
    </row>
    <row r="75" spans="1:8" ht="12.75">
      <c r="A75" s="88" t="s">
        <v>241</v>
      </c>
      <c r="B75" s="19">
        <v>943</v>
      </c>
      <c r="C75" s="89">
        <v>5.673000000000001</v>
      </c>
      <c r="D75" s="80">
        <f t="shared" si="8"/>
        <v>943000</v>
      </c>
      <c r="E75" s="19">
        <v>942</v>
      </c>
      <c r="F75" s="81">
        <f t="shared" si="9"/>
        <v>166225.98272518947</v>
      </c>
      <c r="G75" s="80">
        <f t="shared" si="10"/>
        <v>942000</v>
      </c>
      <c r="H75" s="81">
        <f t="shared" si="11"/>
        <v>166049.7091485986</v>
      </c>
    </row>
    <row r="76" spans="1:8" ht="12.75">
      <c r="A76" s="88" t="s">
        <v>546</v>
      </c>
      <c r="B76" s="19">
        <v>161</v>
      </c>
      <c r="C76" s="89">
        <v>0.7235</v>
      </c>
      <c r="D76" s="80">
        <f t="shared" si="8"/>
        <v>161000</v>
      </c>
      <c r="E76" s="19">
        <v>162</v>
      </c>
      <c r="F76" s="81">
        <f t="shared" si="9"/>
        <v>222529.37111264686</v>
      </c>
      <c r="G76" s="80">
        <f t="shared" si="10"/>
        <v>162000</v>
      </c>
      <c r="H76" s="81">
        <f t="shared" si="11"/>
        <v>223911.5411195577</v>
      </c>
    </row>
    <row r="77" spans="1:8" ht="12.75">
      <c r="A77" s="88" t="s">
        <v>122</v>
      </c>
      <c r="B77" s="19">
        <v>3058</v>
      </c>
      <c r="C77" s="89">
        <v>4</v>
      </c>
      <c r="D77" s="80">
        <f t="shared" si="8"/>
        <v>3058000</v>
      </c>
      <c r="E77" s="19">
        <v>3058</v>
      </c>
      <c r="F77" s="81">
        <f t="shared" si="9"/>
        <v>764500</v>
      </c>
      <c r="G77" s="80">
        <f t="shared" si="10"/>
        <v>3058000</v>
      </c>
      <c r="H77" s="81">
        <f t="shared" si="11"/>
        <v>764500</v>
      </c>
    </row>
    <row r="78" spans="1:8" ht="12.75">
      <c r="A78" s="88" t="s">
        <v>123</v>
      </c>
      <c r="B78" s="19">
        <v>165</v>
      </c>
      <c r="C78" s="89">
        <v>2.75</v>
      </c>
      <c r="D78" s="80">
        <f t="shared" si="8"/>
        <v>165000</v>
      </c>
      <c r="E78" s="19">
        <v>165</v>
      </c>
      <c r="F78" s="81">
        <f t="shared" si="9"/>
        <v>60000</v>
      </c>
      <c r="G78" s="80">
        <f t="shared" si="10"/>
        <v>165000</v>
      </c>
      <c r="H78" s="81">
        <f t="shared" si="11"/>
        <v>60000</v>
      </c>
    </row>
    <row r="79" spans="1:8" ht="12.75">
      <c r="A79" s="88" t="s">
        <v>124</v>
      </c>
      <c r="B79" s="19">
        <v>46345</v>
      </c>
      <c r="C79" s="89">
        <v>24.410518333333332</v>
      </c>
      <c r="D79" s="80">
        <f t="shared" si="8"/>
        <v>46345000</v>
      </c>
      <c r="E79" s="19">
        <v>46345</v>
      </c>
      <c r="F79" s="81">
        <f t="shared" si="9"/>
        <v>1898566.8131722726</v>
      </c>
      <c r="G79" s="80">
        <f t="shared" si="10"/>
        <v>46345000</v>
      </c>
      <c r="H79" s="81">
        <f t="shared" si="11"/>
        <v>1898566.8131722726</v>
      </c>
    </row>
    <row r="80" spans="1:8" ht="12.75">
      <c r="A80" s="88" t="s">
        <v>125</v>
      </c>
      <c r="B80" s="19">
        <v>14934</v>
      </c>
      <c r="C80" s="89">
        <v>35</v>
      </c>
      <c r="D80" s="80">
        <f t="shared" si="8"/>
        <v>14934000</v>
      </c>
      <c r="E80" s="19">
        <v>14934</v>
      </c>
      <c r="F80" s="81">
        <f t="shared" si="9"/>
        <v>426685.71428571426</v>
      </c>
      <c r="G80" s="80">
        <f t="shared" si="10"/>
        <v>14934000</v>
      </c>
      <c r="H80" s="81">
        <f t="shared" si="11"/>
        <v>426685.71428571426</v>
      </c>
    </row>
    <row r="81" spans="1:8" ht="12.75">
      <c r="A81" s="88" t="s">
        <v>126</v>
      </c>
      <c r="B81" s="19">
        <v>3843</v>
      </c>
      <c r="C81" s="89">
        <v>2.6334999999999997</v>
      </c>
      <c r="D81" s="80">
        <f t="shared" si="8"/>
        <v>3843000</v>
      </c>
      <c r="E81" s="19">
        <v>3843</v>
      </c>
      <c r="F81" s="81">
        <f t="shared" si="9"/>
        <v>1459274.7294475036</v>
      </c>
      <c r="G81" s="80">
        <f t="shared" si="10"/>
        <v>3843000</v>
      </c>
      <c r="H81" s="81">
        <f t="shared" si="11"/>
        <v>1459274.7294475036</v>
      </c>
    </row>
    <row r="82" spans="1:8" ht="12.75">
      <c r="A82" s="88" t="s">
        <v>127</v>
      </c>
      <c r="B82" s="19">
        <v>27845</v>
      </c>
      <c r="C82" s="89">
        <v>63</v>
      </c>
      <c r="D82" s="80">
        <f t="shared" si="8"/>
        <v>27845000</v>
      </c>
      <c r="E82" s="19">
        <v>27845</v>
      </c>
      <c r="F82" s="81">
        <f t="shared" si="9"/>
        <v>441984.126984127</v>
      </c>
      <c r="G82" s="80">
        <f t="shared" si="10"/>
        <v>27845000</v>
      </c>
      <c r="H82" s="81">
        <f t="shared" si="11"/>
        <v>441984.126984127</v>
      </c>
    </row>
    <row r="83" spans="1:8" ht="12.75">
      <c r="A83" s="88" t="s">
        <v>128</v>
      </c>
      <c r="B83" s="19">
        <v>3076</v>
      </c>
      <c r="C83" s="89">
        <v>0.137</v>
      </c>
      <c r="D83" s="80">
        <f t="shared" si="8"/>
        <v>3076000</v>
      </c>
      <c r="E83" s="19">
        <v>3076</v>
      </c>
      <c r="F83" s="81">
        <f t="shared" si="9"/>
        <v>22452554.744525544</v>
      </c>
      <c r="G83" s="80">
        <f t="shared" si="10"/>
        <v>3076000</v>
      </c>
      <c r="H83" s="81">
        <f t="shared" si="11"/>
        <v>22452554.744525544</v>
      </c>
    </row>
    <row r="84" spans="1:8" ht="12.75">
      <c r="A84" s="88" t="s">
        <v>129</v>
      </c>
      <c r="B84" s="19">
        <v>5161</v>
      </c>
      <c r="C84" s="89">
        <v>8.009666666666666</v>
      </c>
      <c r="D84" s="80">
        <f t="shared" si="8"/>
        <v>5161000</v>
      </c>
      <c r="E84" s="19">
        <v>5161</v>
      </c>
      <c r="F84" s="81">
        <f t="shared" si="9"/>
        <v>644346.4147488452</v>
      </c>
      <c r="G84" s="80">
        <f t="shared" si="10"/>
        <v>5161000</v>
      </c>
      <c r="H84" s="81">
        <f t="shared" si="11"/>
        <v>644346.4147488452</v>
      </c>
    </row>
    <row r="85" spans="1:8" ht="12.75">
      <c r="A85" s="88" t="s">
        <v>130</v>
      </c>
      <c r="B85" s="19">
        <v>1630</v>
      </c>
      <c r="C85" s="89">
        <v>2.0785000000000005</v>
      </c>
      <c r="D85" s="80">
        <f t="shared" si="8"/>
        <v>1630000</v>
      </c>
      <c r="E85" s="19">
        <v>1630</v>
      </c>
      <c r="F85" s="81">
        <f t="shared" si="9"/>
        <v>784219.3889824391</v>
      </c>
      <c r="G85" s="80">
        <f t="shared" si="10"/>
        <v>1630000</v>
      </c>
      <c r="H85" s="81">
        <f t="shared" si="11"/>
        <v>784219.3889824391</v>
      </c>
    </row>
    <row r="86" spans="1:8" ht="12.75">
      <c r="A86" s="88" t="s">
        <v>131</v>
      </c>
      <c r="B86" s="19">
        <v>3840</v>
      </c>
      <c r="C86" s="89">
        <v>6.205</v>
      </c>
      <c r="D86" s="80">
        <f t="shared" si="8"/>
        <v>3840000</v>
      </c>
      <c r="E86" s="19">
        <v>3894</v>
      </c>
      <c r="F86" s="81">
        <f t="shared" si="9"/>
        <v>618855.7614826752</v>
      </c>
      <c r="G86" s="80">
        <f t="shared" si="10"/>
        <v>3894000</v>
      </c>
      <c r="H86" s="81">
        <f t="shared" si="11"/>
        <v>627558.4206285254</v>
      </c>
    </row>
    <row r="87" spans="1:8" ht="12.75">
      <c r="A87" s="88" t="s">
        <v>132</v>
      </c>
      <c r="B87" s="19">
        <v>220</v>
      </c>
      <c r="C87" s="89">
        <v>50</v>
      </c>
      <c r="D87" s="80">
        <f t="shared" si="8"/>
        <v>220000</v>
      </c>
      <c r="E87" s="19">
        <v>220</v>
      </c>
      <c r="F87" s="81">
        <f t="shared" si="9"/>
        <v>4400</v>
      </c>
      <c r="G87" s="80">
        <f t="shared" si="10"/>
        <v>220000</v>
      </c>
      <c r="H87" s="81">
        <f t="shared" si="11"/>
        <v>4400</v>
      </c>
    </row>
    <row r="88" spans="1:8" ht="12.75">
      <c r="A88" s="88" t="s">
        <v>133</v>
      </c>
      <c r="B88" s="19">
        <v>6775</v>
      </c>
      <c r="C88" s="89">
        <v>0.625</v>
      </c>
      <c r="D88" s="80">
        <f t="shared" si="8"/>
        <v>6775000</v>
      </c>
      <c r="E88" s="19">
        <v>6775</v>
      </c>
      <c r="F88" s="81">
        <f t="shared" si="9"/>
        <v>10840000</v>
      </c>
      <c r="G88" s="80">
        <f t="shared" si="10"/>
        <v>6775000</v>
      </c>
      <c r="H88" s="81">
        <f t="shared" si="11"/>
        <v>10840000</v>
      </c>
    </row>
    <row r="89" spans="1:8" ht="12.75">
      <c r="A89" s="88" t="s">
        <v>134</v>
      </c>
      <c r="B89" s="19">
        <v>6176</v>
      </c>
      <c r="C89" s="89">
        <v>11.75</v>
      </c>
      <c r="D89" s="80">
        <f t="shared" si="8"/>
        <v>6176000</v>
      </c>
      <c r="E89" s="19">
        <v>6176</v>
      </c>
      <c r="F89" s="81">
        <f t="shared" si="9"/>
        <v>525617.0212765958</v>
      </c>
      <c r="G89" s="80">
        <f t="shared" si="10"/>
        <v>6176000</v>
      </c>
      <c r="H89" s="81">
        <f t="shared" si="11"/>
        <v>525617.0212765958</v>
      </c>
    </row>
    <row r="90" spans="1:8" ht="12.75">
      <c r="A90" s="88" t="s">
        <v>135</v>
      </c>
      <c r="B90" s="19">
        <v>13586</v>
      </c>
      <c r="C90" s="89">
        <v>1100</v>
      </c>
      <c r="D90" s="80">
        <f t="shared" si="8"/>
        <v>13586000</v>
      </c>
      <c r="E90" s="19">
        <v>13586</v>
      </c>
      <c r="F90" s="81">
        <f t="shared" si="9"/>
        <v>12350.90909090909</v>
      </c>
      <c r="G90" s="80">
        <f t="shared" si="10"/>
        <v>13586000</v>
      </c>
      <c r="H90" s="81">
        <f t="shared" si="11"/>
        <v>12350.90909090909</v>
      </c>
    </row>
    <row r="91" spans="1:8" ht="12.75">
      <c r="A91" s="88" t="s">
        <v>136</v>
      </c>
      <c r="B91" s="19">
        <v>1602</v>
      </c>
      <c r="C91" s="89">
        <v>2.5974166666666667</v>
      </c>
      <c r="D91" s="80">
        <f t="shared" si="8"/>
        <v>1602000</v>
      </c>
      <c r="E91" s="19">
        <v>1602</v>
      </c>
      <c r="F91" s="81">
        <f t="shared" si="9"/>
        <v>616766.6591805961</v>
      </c>
      <c r="G91" s="80">
        <f t="shared" si="10"/>
        <v>1602000</v>
      </c>
      <c r="H91" s="81">
        <f t="shared" si="11"/>
        <v>616766.6591805961</v>
      </c>
    </row>
    <row r="92" spans="1:8" ht="12.75">
      <c r="A92" s="88" t="s">
        <v>443</v>
      </c>
      <c r="B92" s="19">
        <v>4230</v>
      </c>
      <c r="C92" s="89">
        <v>10</v>
      </c>
      <c r="D92" s="80">
        <f t="shared" si="8"/>
        <v>4230000</v>
      </c>
      <c r="E92" s="19">
        <v>4230</v>
      </c>
      <c r="F92" s="81">
        <f t="shared" si="9"/>
        <v>423000</v>
      </c>
      <c r="G92" s="80">
        <f t="shared" si="10"/>
        <v>4230000</v>
      </c>
      <c r="H92" s="81">
        <f t="shared" si="11"/>
        <v>423000</v>
      </c>
    </row>
    <row r="93" spans="1:8" ht="12.75">
      <c r="A93" s="88" t="s">
        <v>137</v>
      </c>
      <c r="B93" s="19">
        <v>303</v>
      </c>
      <c r="C93" s="89">
        <v>13.125</v>
      </c>
      <c r="D93" s="80">
        <f t="shared" si="8"/>
        <v>303000</v>
      </c>
      <c r="E93" s="19">
        <v>303</v>
      </c>
      <c r="F93" s="81">
        <f t="shared" si="9"/>
        <v>23085.714285714286</v>
      </c>
      <c r="G93" s="80">
        <f t="shared" si="10"/>
        <v>303000</v>
      </c>
      <c r="H93" s="81">
        <f t="shared" si="11"/>
        <v>23085.714285714286</v>
      </c>
    </row>
    <row r="94" spans="1:8" ht="12.75">
      <c r="A94" s="88" t="s">
        <v>138</v>
      </c>
      <c r="B94" s="19">
        <v>28824</v>
      </c>
      <c r="C94" s="89">
        <v>25</v>
      </c>
      <c r="D94" s="80">
        <f t="shared" si="8"/>
        <v>28824000</v>
      </c>
      <c r="E94" s="19">
        <v>41683</v>
      </c>
      <c r="F94" s="81">
        <f t="shared" si="9"/>
        <v>1152960</v>
      </c>
      <c r="G94" s="80">
        <f t="shared" si="10"/>
        <v>41683000</v>
      </c>
      <c r="H94" s="81">
        <f t="shared" si="11"/>
        <v>1667320</v>
      </c>
    </row>
    <row r="95" spans="1:10" ht="12.75">
      <c r="A95" s="88" t="s">
        <v>274</v>
      </c>
      <c r="B95" s="19">
        <v>6985</v>
      </c>
      <c r="C95" s="89">
        <v>269.9175</v>
      </c>
      <c r="D95" s="80">
        <f t="shared" si="8"/>
        <v>6985000</v>
      </c>
      <c r="E95" s="19">
        <v>14680</v>
      </c>
      <c r="F95" s="81">
        <f t="shared" si="9"/>
        <v>25878.27762186594</v>
      </c>
      <c r="G95" s="80">
        <f t="shared" si="10"/>
        <v>14680000</v>
      </c>
      <c r="H95" s="81">
        <f t="shared" si="11"/>
        <v>54386.988616892195</v>
      </c>
      <c r="J95" s="120"/>
    </row>
    <row r="96" spans="1:8" ht="12.75">
      <c r="A96" s="88" t="s">
        <v>275</v>
      </c>
      <c r="B96" s="19">
        <v>7265</v>
      </c>
      <c r="C96" s="89">
        <v>70</v>
      </c>
      <c r="D96" s="80">
        <f t="shared" si="8"/>
        <v>7265000</v>
      </c>
      <c r="E96" s="19">
        <v>7265</v>
      </c>
      <c r="F96" s="81">
        <f t="shared" si="9"/>
        <v>103785.71428571429</v>
      </c>
      <c r="G96" s="80">
        <f t="shared" si="10"/>
        <v>7265000</v>
      </c>
      <c r="H96" s="81">
        <f t="shared" si="11"/>
        <v>103785.71428571429</v>
      </c>
    </row>
    <row r="97" spans="1:8" ht="12.75">
      <c r="A97" s="88" t="s">
        <v>276</v>
      </c>
      <c r="B97" s="19">
        <v>994</v>
      </c>
      <c r="C97" s="89">
        <v>7.25</v>
      </c>
      <c r="D97" s="80">
        <f t="shared" si="8"/>
        <v>994000</v>
      </c>
      <c r="E97" s="19">
        <v>994</v>
      </c>
      <c r="F97" s="81">
        <f t="shared" si="9"/>
        <v>137103.44827586206</v>
      </c>
      <c r="G97" s="80">
        <f t="shared" si="10"/>
        <v>994000</v>
      </c>
      <c r="H97" s="81">
        <f t="shared" si="11"/>
        <v>137103.44827586206</v>
      </c>
    </row>
    <row r="98" spans="1:8" ht="12.75">
      <c r="A98" s="88" t="s">
        <v>277</v>
      </c>
      <c r="B98" s="19">
        <v>15874</v>
      </c>
      <c r="C98" s="89">
        <v>15.25</v>
      </c>
      <c r="D98" s="80">
        <f t="shared" si="8"/>
        <v>15874000</v>
      </c>
      <c r="E98" s="19">
        <v>247256</v>
      </c>
      <c r="F98" s="81">
        <f t="shared" si="9"/>
        <v>1040918.0327868853</v>
      </c>
      <c r="G98" s="80">
        <f t="shared" si="10"/>
        <v>247256000</v>
      </c>
      <c r="H98" s="81">
        <f t="shared" si="11"/>
        <v>16213508.196721312</v>
      </c>
    </row>
    <row r="99" spans="1:8" ht="12.75">
      <c r="A99" s="88" t="s">
        <v>278</v>
      </c>
      <c r="B99" s="19">
        <v>22524</v>
      </c>
      <c r="C99" s="89">
        <v>245.0754</v>
      </c>
      <c r="D99" s="80">
        <f aca="true" t="shared" si="12" ref="D99:D105">1000*B99</f>
        <v>22524000</v>
      </c>
      <c r="E99" s="19">
        <v>141591</v>
      </c>
      <c r="F99" s="81">
        <f aca="true" t="shared" si="13" ref="F99:F105">D99/C99</f>
        <v>91906.40921120602</v>
      </c>
      <c r="G99" s="80">
        <f aca="true" t="shared" si="14" ref="G99:G105">1000*E99</f>
        <v>141591000</v>
      </c>
      <c r="H99" s="81">
        <f aca="true" t="shared" si="15" ref="H99:H105">G99/C99</f>
        <v>577744.6451173802</v>
      </c>
    </row>
    <row r="100" spans="1:8" ht="12.75">
      <c r="A100" s="88" t="s">
        <v>279</v>
      </c>
      <c r="B100" s="19">
        <v>389</v>
      </c>
      <c r="C100" s="89">
        <v>25.2</v>
      </c>
      <c r="D100" s="80">
        <f t="shared" si="12"/>
        <v>389000</v>
      </c>
      <c r="E100" s="19">
        <v>3173</v>
      </c>
      <c r="F100" s="81">
        <f t="shared" si="13"/>
        <v>15436.507936507936</v>
      </c>
      <c r="G100" s="80">
        <f t="shared" si="14"/>
        <v>3173000</v>
      </c>
      <c r="H100" s="81">
        <f t="shared" si="15"/>
        <v>125912.69841269842</v>
      </c>
    </row>
    <row r="101" spans="1:8" ht="12.75">
      <c r="A101" s="88" t="s">
        <v>280</v>
      </c>
      <c r="B101" s="19">
        <v>12880</v>
      </c>
      <c r="C101" s="89">
        <v>26.061</v>
      </c>
      <c r="D101" s="80">
        <f t="shared" si="12"/>
        <v>12880000</v>
      </c>
      <c r="E101" s="19">
        <v>12880</v>
      </c>
      <c r="F101" s="81">
        <f t="shared" si="13"/>
        <v>494225.08729519206</v>
      </c>
      <c r="G101" s="80">
        <f t="shared" si="14"/>
        <v>12880000</v>
      </c>
      <c r="H101" s="81">
        <f t="shared" si="15"/>
        <v>494225.08729519206</v>
      </c>
    </row>
    <row r="102" spans="1:8" ht="12.75">
      <c r="A102" s="88" t="s">
        <v>281</v>
      </c>
      <c r="B102" s="19">
        <v>682</v>
      </c>
      <c r="C102" s="89">
        <v>21.5</v>
      </c>
      <c r="D102" s="80">
        <f t="shared" si="12"/>
        <v>682000</v>
      </c>
      <c r="E102" s="19">
        <v>682</v>
      </c>
      <c r="F102" s="81">
        <f t="shared" si="13"/>
        <v>31720.93023255814</v>
      </c>
      <c r="G102" s="80">
        <f t="shared" si="14"/>
        <v>682000</v>
      </c>
      <c r="H102" s="81">
        <f t="shared" si="15"/>
        <v>31720.93023255814</v>
      </c>
    </row>
    <row r="103" spans="1:8" ht="12.75">
      <c r="A103" s="88" t="s">
        <v>282</v>
      </c>
      <c r="B103" s="19">
        <v>1371</v>
      </c>
      <c r="C103" s="89">
        <v>1.25</v>
      </c>
      <c r="D103" s="80">
        <f t="shared" si="12"/>
        <v>1371000</v>
      </c>
      <c r="E103" s="19">
        <v>1371</v>
      </c>
      <c r="F103" s="81">
        <f t="shared" si="13"/>
        <v>1096800</v>
      </c>
      <c r="G103" s="80">
        <f t="shared" si="14"/>
        <v>1371000</v>
      </c>
      <c r="H103" s="81">
        <f t="shared" si="15"/>
        <v>1096800</v>
      </c>
    </row>
    <row r="104" spans="1:8" ht="12.75">
      <c r="A104" s="88" t="s">
        <v>283</v>
      </c>
      <c r="B104" s="19">
        <v>66854</v>
      </c>
      <c r="C104" s="89">
        <v>1.4909563392815917</v>
      </c>
      <c r="D104" s="80">
        <f t="shared" si="12"/>
        <v>66854000</v>
      </c>
      <c r="E104" s="19">
        <v>66855</v>
      </c>
      <c r="F104" s="81">
        <f t="shared" si="13"/>
        <v>44839676.54761319</v>
      </c>
      <c r="G104" s="80">
        <f t="shared" si="14"/>
        <v>66855000</v>
      </c>
      <c r="H104" s="81">
        <f t="shared" si="15"/>
        <v>44840347.25806504</v>
      </c>
    </row>
    <row r="105" spans="1:8" ht="13.5" thickBot="1">
      <c r="A105" s="90" t="s">
        <v>284</v>
      </c>
      <c r="B105" s="23">
        <v>15045</v>
      </c>
      <c r="C105" s="91">
        <v>1.4909563392815917</v>
      </c>
      <c r="D105" s="82">
        <f t="shared" si="12"/>
        <v>15045000</v>
      </c>
      <c r="E105" s="23">
        <v>15045</v>
      </c>
      <c r="F105" s="83">
        <f t="shared" si="13"/>
        <v>10090838.748000724</v>
      </c>
      <c r="G105" s="82">
        <f t="shared" si="14"/>
        <v>15045000</v>
      </c>
      <c r="H105" s="83">
        <f t="shared" si="15"/>
        <v>10090838.748000724</v>
      </c>
    </row>
    <row r="106" spans="1:8" ht="15" thickBot="1" thickTop="1">
      <c r="A106" s="92" t="s">
        <v>493</v>
      </c>
      <c r="B106" s="85"/>
      <c r="C106" s="140">
        <v>1.4909563392815917</v>
      </c>
      <c r="D106" s="84">
        <f>SUM(D3:D105)</f>
        <v>8397286000</v>
      </c>
      <c r="E106" s="85">
        <f>SUM(E3:E105)</f>
        <v>8775913</v>
      </c>
      <c r="F106" s="93">
        <f>SUM(F3:F105)</f>
        <v>5914409717.110367</v>
      </c>
      <c r="G106" s="84">
        <f>SUM(G3:G105)</f>
        <v>8775913000</v>
      </c>
      <c r="H106" s="93">
        <f>SUM(H3:H105)</f>
        <v>5937811966.256077</v>
      </c>
    </row>
    <row r="107" spans="4:7" ht="12.75">
      <c r="D107" s="3" t="s">
        <v>629</v>
      </c>
      <c r="G107" s="3" t="s">
        <v>628</v>
      </c>
    </row>
    <row r="108" spans="1:8" ht="14.25" thickBot="1">
      <c r="A108" s="14" t="s">
        <v>497</v>
      </c>
      <c r="B108" s="35" t="s">
        <v>364</v>
      </c>
      <c r="C108" s="37" t="s">
        <v>632</v>
      </c>
      <c r="D108" s="35" t="s">
        <v>494</v>
      </c>
      <c r="E108" s="35" t="s">
        <v>365</v>
      </c>
      <c r="F108" s="35" t="s">
        <v>495</v>
      </c>
      <c r="G108" s="35" t="s">
        <v>494</v>
      </c>
      <c r="H108" s="35" t="s">
        <v>495</v>
      </c>
    </row>
    <row r="109" spans="1:8" ht="12.75">
      <c r="A109" s="86" t="s">
        <v>287</v>
      </c>
      <c r="B109" s="78">
        <v>45</v>
      </c>
      <c r="C109" s="87">
        <v>6</v>
      </c>
      <c r="D109" s="77">
        <f aca="true" t="shared" si="16" ref="D109:D146">1000*B109</f>
        <v>45000</v>
      </c>
      <c r="E109" s="78">
        <v>45</v>
      </c>
      <c r="F109" s="79">
        <f aca="true" t="shared" si="17" ref="F109:F146">D109/C109</f>
        <v>7500</v>
      </c>
      <c r="G109" s="77">
        <f aca="true" t="shared" si="18" ref="G109:G146">1000*E109</f>
        <v>45000</v>
      </c>
      <c r="H109" s="79">
        <f aca="true" t="shared" si="19" ref="H109:H146">G109/C109</f>
        <v>7500</v>
      </c>
    </row>
    <row r="110" spans="1:8" ht="12.75">
      <c r="A110" s="88" t="s">
        <v>288</v>
      </c>
      <c r="B110" s="19">
        <v>7708</v>
      </c>
      <c r="C110" s="89">
        <v>0.290625</v>
      </c>
      <c r="D110" s="80">
        <f t="shared" si="16"/>
        <v>7708000</v>
      </c>
      <c r="E110" s="19">
        <v>7708</v>
      </c>
      <c r="F110" s="81">
        <f t="shared" si="17"/>
        <v>26522150.537634406</v>
      </c>
      <c r="G110" s="80">
        <f t="shared" si="18"/>
        <v>7708000</v>
      </c>
      <c r="H110" s="81">
        <f t="shared" si="19"/>
        <v>26522150.537634406</v>
      </c>
    </row>
    <row r="111" spans="1:8" ht="12.75">
      <c r="A111" s="88" t="s">
        <v>289</v>
      </c>
      <c r="B111" s="19">
        <v>1081</v>
      </c>
      <c r="C111" s="89">
        <v>3.625</v>
      </c>
      <c r="D111" s="80">
        <f t="shared" si="16"/>
        <v>1081000</v>
      </c>
      <c r="E111" s="19">
        <v>1081</v>
      </c>
      <c r="F111" s="81">
        <f t="shared" si="17"/>
        <v>298206.8965517241</v>
      </c>
      <c r="G111" s="80">
        <f t="shared" si="18"/>
        <v>1081000</v>
      </c>
      <c r="H111" s="81">
        <f t="shared" si="19"/>
        <v>298206.8965517241</v>
      </c>
    </row>
    <row r="112" spans="1:8" ht="12.75">
      <c r="A112" s="88" t="s">
        <v>290</v>
      </c>
      <c r="B112" s="19">
        <v>201</v>
      </c>
      <c r="C112" s="89">
        <v>0.3</v>
      </c>
      <c r="D112" s="80">
        <f t="shared" si="16"/>
        <v>201000</v>
      </c>
      <c r="E112" s="19">
        <v>201</v>
      </c>
      <c r="F112" s="81">
        <f t="shared" si="17"/>
        <v>670000</v>
      </c>
      <c r="G112" s="80">
        <f t="shared" si="18"/>
        <v>201000</v>
      </c>
      <c r="H112" s="81">
        <f t="shared" si="19"/>
        <v>670000</v>
      </c>
    </row>
    <row r="113" spans="1:8" ht="12.75">
      <c r="A113" s="88" t="s">
        <v>291</v>
      </c>
      <c r="B113" s="19">
        <v>43940</v>
      </c>
      <c r="C113" s="89">
        <v>0.40625</v>
      </c>
      <c r="D113" s="80">
        <f t="shared" si="16"/>
        <v>43940000</v>
      </c>
      <c r="E113" s="19">
        <v>43939</v>
      </c>
      <c r="F113" s="81">
        <f t="shared" si="17"/>
        <v>108160000</v>
      </c>
      <c r="G113" s="80">
        <f t="shared" si="18"/>
        <v>43939000</v>
      </c>
      <c r="H113" s="81">
        <f t="shared" si="19"/>
        <v>108157538.46153846</v>
      </c>
    </row>
    <row r="114" spans="1:8" ht="12.75">
      <c r="A114" s="88" t="s">
        <v>292</v>
      </c>
      <c r="B114" s="19">
        <v>2299</v>
      </c>
      <c r="C114" s="89">
        <v>0.28</v>
      </c>
      <c r="D114" s="80">
        <f t="shared" si="16"/>
        <v>2299000</v>
      </c>
      <c r="E114" s="19">
        <v>2299</v>
      </c>
      <c r="F114" s="81">
        <f t="shared" si="17"/>
        <v>8210714.2857142845</v>
      </c>
      <c r="G114" s="80">
        <f t="shared" si="18"/>
        <v>2299000</v>
      </c>
      <c r="H114" s="81">
        <f t="shared" si="19"/>
        <v>8210714.2857142845</v>
      </c>
    </row>
    <row r="115" spans="1:8" ht="12.75">
      <c r="A115" s="88" t="s">
        <v>293</v>
      </c>
      <c r="B115" s="19">
        <v>57977</v>
      </c>
      <c r="C115" s="89">
        <v>0.29</v>
      </c>
      <c r="D115" s="80">
        <f t="shared" si="16"/>
        <v>57977000</v>
      </c>
      <c r="E115" s="19">
        <v>57978</v>
      </c>
      <c r="F115" s="81">
        <f t="shared" si="17"/>
        <v>199920689.65517244</v>
      </c>
      <c r="G115" s="80">
        <f t="shared" si="18"/>
        <v>57978000</v>
      </c>
      <c r="H115" s="81">
        <f t="shared" si="19"/>
        <v>199924137.9310345</v>
      </c>
    </row>
    <row r="116" spans="1:8" ht="12.75">
      <c r="A116" s="88" t="s">
        <v>294</v>
      </c>
      <c r="B116" s="19">
        <v>978</v>
      </c>
      <c r="C116" s="89">
        <v>0.7611458333333333</v>
      </c>
      <c r="D116" s="80">
        <f t="shared" si="16"/>
        <v>978000</v>
      </c>
      <c r="E116" s="19">
        <v>978</v>
      </c>
      <c r="F116" s="81">
        <f t="shared" si="17"/>
        <v>1284904.8857260162</v>
      </c>
      <c r="G116" s="80">
        <f t="shared" si="18"/>
        <v>978000</v>
      </c>
      <c r="H116" s="81">
        <f t="shared" si="19"/>
        <v>1284904.8857260162</v>
      </c>
    </row>
    <row r="117" spans="1:8" ht="12.75">
      <c r="A117" s="88" t="s">
        <v>295</v>
      </c>
      <c r="B117" s="19">
        <v>2258</v>
      </c>
      <c r="C117" s="89">
        <v>0.4</v>
      </c>
      <c r="D117" s="80">
        <f t="shared" si="16"/>
        <v>2258000</v>
      </c>
      <c r="E117" s="19">
        <v>2259</v>
      </c>
      <c r="F117" s="81">
        <f t="shared" si="17"/>
        <v>5645000</v>
      </c>
      <c r="G117" s="80">
        <f t="shared" si="18"/>
        <v>2259000</v>
      </c>
      <c r="H117" s="81">
        <f t="shared" si="19"/>
        <v>5647500</v>
      </c>
    </row>
    <row r="118" spans="1:8" ht="12.75">
      <c r="A118" s="88" t="s">
        <v>296</v>
      </c>
      <c r="B118" s="19">
        <v>230830</v>
      </c>
      <c r="C118" s="89">
        <v>0.68125</v>
      </c>
      <c r="D118" s="80">
        <f t="shared" si="16"/>
        <v>230830000</v>
      </c>
      <c r="E118" s="19">
        <v>230830</v>
      </c>
      <c r="F118" s="81">
        <f t="shared" si="17"/>
        <v>338833027.52293575</v>
      </c>
      <c r="G118" s="80">
        <f t="shared" si="18"/>
        <v>230830000</v>
      </c>
      <c r="H118" s="81">
        <f t="shared" si="19"/>
        <v>338833027.52293575</v>
      </c>
    </row>
    <row r="119" spans="1:8" ht="12.75">
      <c r="A119" s="88" t="s">
        <v>297</v>
      </c>
      <c r="B119" s="19">
        <v>4021</v>
      </c>
      <c r="C119" s="89">
        <v>0.56</v>
      </c>
      <c r="D119" s="80">
        <f t="shared" si="16"/>
        <v>4021000</v>
      </c>
      <c r="E119" s="19">
        <v>4022</v>
      </c>
      <c r="F119" s="81">
        <f t="shared" si="17"/>
        <v>7180357.142857142</v>
      </c>
      <c r="G119" s="80">
        <f t="shared" si="18"/>
        <v>4022000</v>
      </c>
      <c r="H119" s="81">
        <f t="shared" si="19"/>
        <v>7182142.857142856</v>
      </c>
    </row>
    <row r="120" spans="1:8" ht="12.75">
      <c r="A120" s="88" t="s">
        <v>298</v>
      </c>
      <c r="B120" s="19">
        <v>38202</v>
      </c>
      <c r="C120" s="89">
        <v>2.2375</v>
      </c>
      <c r="D120" s="80">
        <f t="shared" si="16"/>
        <v>38202000</v>
      </c>
      <c r="E120" s="19">
        <v>38201</v>
      </c>
      <c r="F120" s="81">
        <f t="shared" si="17"/>
        <v>17073519.553072628</v>
      </c>
      <c r="G120" s="80">
        <f t="shared" si="18"/>
        <v>38201000</v>
      </c>
      <c r="H120" s="81">
        <f t="shared" si="19"/>
        <v>17073072.625698324</v>
      </c>
    </row>
    <row r="121" spans="1:8" ht="12.75">
      <c r="A121" s="88" t="s">
        <v>299</v>
      </c>
      <c r="B121" s="19">
        <v>1643</v>
      </c>
      <c r="C121" s="89">
        <v>1.275</v>
      </c>
      <c r="D121" s="80">
        <f t="shared" si="16"/>
        <v>1643000</v>
      </c>
      <c r="E121" s="19">
        <v>1643</v>
      </c>
      <c r="F121" s="81">
        <f t="shared" si="17"/>
        <v>1288627.4509803923</v>
      </c>
      <c r="G121" s="80">
        <f t="shared" si="18"/>
        <v>1643000</v>
      </c>
      <c r="H121" s="81">
        <f t="shared" si="19"/>
        <v>1288627.4509803923</v>
      </c>
    </row>
    <row r="122" spans="1:8" ht="12.75">
      <c r="A122" s="88" t="s">
        <v>300</v>
      </c>
      <c r="B122" s="19">
        <v>18028</v>
      </c>
      <c r="C122" s="89">
        <v>14.375</v>
      </c>
      <c r="D122" s="80">
        <f t="shared" si="16"/>
        <v>18028000</v>
      </c>
      <c r="E122" s="19">
        <v>18027</v>
      </c>
      <c r="F122" s="81">
        <f t="shared" si="17"/>
        <v>1254121.7391304348</v>
      </c>
      <c r="G122" s="80">
        <f t="shared" si="18"/>
        <v>18027000</v>
      </c>
      <c r="H122" s="81">
        <f t="shared" si="19"/>
        <v>1254052.1739130435</v>
      </c>
    </row>
    <row r="123" spans="1:8" ht="12.75">
      <c r="A123" s="88" t="s">
        <v>302</v>
      </c>
      <c r="B123" s="19">
        <v>117090</v>
      </c>
      <c r="C123" s="89">
        <v>2.55</v>
      </c>
      <c r="D123" s="80">
        <f t="shared" si="16"/>
        <v>117090000</v>
      </c>
      <c r="E123" s="19">
        <v>117089</v>
      </c>
      <c r="F123" s="81">
        <f t="shared" si="17"/>
        <v>45917647.05882353</v>
      </c>
      <c r="G123" s="80">
        <f t="shared" si="18"/>
        <v>117089000</v>
      </c>
      <c r="H123" s="81">
        <f t="shared" si="19"/>
        <v>45917254.90196079</v>
      </c>
    </row>
    <row r="124" spans="1:8" ht="12.75">
      <c r="A124" s="88" t="s">
        <v>301</v>
      </c>
      <c r="B124" s="19">
        <v>1808</v>
      </c>
      <c r="C124" s="89">
        <v>4.25</v>
      </c>
      <c r="D124" s="80">
        <f t="shared" si="16"/>
        <v>1808000</v>
      </c>
      <c r="E124" s="19">
        <v>1808</v>
      </c>
      <c r="F124" s="81">
        <f t="shared" si="17"/>
        <v>425411.76470588235</v>
      </c>
      <c r="G124" s="80">
        <f t="shared" si="18"/>
        <v>1808000</v>
      </c>
      <c r="H124" s="81">
        <f t="shared" si="19"/>
        <v>425411.76470588235</v>
      </c>
    </row>
    <row r="125" spans="1:8" ht="12.75">
      <c r="A125" s="88" t="s">
        <v>303</v>
      </c>
      <c r="B125" s="19">
        <v>18341</v>
      </c>
      <c r="C125" s="89">
        <v>3.704107142857143</v>
      </c>
      <c r="D125" s="80">
        <f t="shared" si="16"/>
        <v>18341000</v>
      </c>
      <c r="E125" s="19">
        <v>18341</v>
      </c>
      <c r="F125" s="81">
        <f t="shared" si="17"/>
        <v>4951530.636841344</v>
      </c>
      <c r="G125" s="80">
        <f t="shared" si="18"/>
        <v>18341000</v>
      </c>
      <c r="H125" s="81">
        <f t="shared" si="19"/>
        <v>4951530.636841344</v>
      </c>
    </row>
    <row r="126" spans="1:8" ht="12.75">
      <c r="A126" s="88" t="s">
        <v>304</v>
      </c>
      <c r="B126" s="19">
        <v>23140</v>
      </c>
      <c r="C126" s="89">
        <v>0.3125</v>
      </c>
      <c r="D126" s="80">
        <f t="shared" si="16"/>
        <v>23140000</v>
      </c>
      <c r="E126" s="19">
        <v>23140</v>
      </c>
      <c r="F126" s="81">
        <f t="shared" si="17"/>
        <v>74048000</v>
      </c>
      <c r="G126" s="80">
        <f t="shared" si="18"/>
        <v>23140000</v>
      </c>
      <c r="H126" s="81">
        <f t="shared" si="19"/>
        <v>74048000</v>
      </c>
    </row>
    <row r="127" spans="1:8" ht="12.75">
      <c r="A127" s="88" t="s">
        <v>305</v>
      </c>
      <c r="B127" s="19">
        <v>5748</v>
      </c>
      <c r="C127" s="89">
        <v>3.5</v>
      </c>
      <c r="D127" s="80">
        <f t="shared" si="16"/>
        <v>5748000</v>
      </c>
      <c r="E127" s="19">
        <v>5748</v>
      </c>
      <c r="F127" s="81">
        <f t="shared" si="17"/>
        <v>1642285.7142857143</v>
      </c>
      <c r="G127" s="80">
        <f t="shared" si="18"/>
        <v>5748000</v>
      </c>
      <c r="H127" s="81">
        <f t="shared" si="19"/>
        <v>1642285.7142857143</v>
      </c>
    </row>
    <row r="128" spans="1:8" ht="12.75">
      <c r="A128" s="88" t="s">
        <v>306</v>
      </c>
      <c r="B128" s="19">
        <v>83921</v>
      </c>
      <c r="C128" s="89">
        <v>3</v>
      </c>
      <c r="D128" s="80">
        <f t="shared" si="16"/>
        <v>83921000</v>
      </c>
      <c r="E128" s="19">
        <v>83921</v>
      </c>
      <c r="F128" s="81">
        <f t="shared" si="17"/>
        <v>27973666.666666668</v>
      </c>
      <c r="G128" s="80">
        <f t="shared" si="18"/>
        <v>83921000</v>
      </c>
      <c r="H128" s="81">
        <f t="shared" si="19"/>
        <v>27973666.666666668</v>
      </c>
    </row>
    <row r="129" spans="1:8" ht="12.75">
      <c r="A129" s="88" t="s">
        <v>307</v>
      </c>
      <c r="B129" s="19">
        <v>7240</v>
      </c>
      <c r="C129" s="89">
        <v>3</v>
      </c>
      <c r="D129" s="80">
        <f t="shared" si="16"/>
        <v>7240000</v>
      </c>
      <c r="E129" s="19">
        <v>7239</v>
      </c>
      <c r="F129" s="81">
        <f t="shared" si="17"/>
        <v>2413333.3333333335</v>
      </c>
      <c r="G129" s="80">
        <f t="shared" si="18"/>
        <v>7239000</v>
      </c>
      <c r="H129" s="81">
        <f t="shared" si="19"/>
        <v>2413000</v>
      </c>
    </row>
    <row r="130" spans="1:8" ht="12.75">
      <c r="A130" s="88" t="s">
        <v>308</v>
      </c>
      <c r="B130" s="19">
        <v>4532</v>
      </c>
      <c r="C130" s="89">
        <v>0.02</v>
      </c>
      <c r="D130" s="80">
        <f t="shared" si="16"/>
        <v>4532000</v>
      </c>
      <c r="E130" s="19">
        <v>4532</v>
      </c>
      <c r="F130" s="81">
        <f t="shared" si="17"/>
        <v>226600000</v>
      </c>
      <c r="G130" s="80">
        <f t="shared" si="18"/>
        <v>4532000</v>
      </c>
      <c r="H130" s="81">
        <f t="shared" si="19"/>
        <v>226600000</v>
      </c>
    </row>
    <row r="131" spans="1:8" ht="12.75">
      <c r="A131" s="88" t="s">
        <v>309</v>
      </c>
      <c r="B131" s="19">
        <v>39652</v>
      </c>
      <c r="C131" s="89">
        <v>0.023565641534391533</v>
      </c>
      <c r="D131" s="80">
        <f t="shared" si="16"/>
        <v>39652000</v>
      </c>
      <c r="E131" s="19">
        <v>39652</v>
      </c>
      <c r="F131" s="81">
        <f t="shared" si="17"/>
        <v>1682619161.5506053</v>
      </c>
      <c r="G131" s="80">
        <f t="shared" si="18"/>
        <v>39652000</v>
      </c>
      <c r="H131" s="81">
        <f t="shared" si="19"/>
        <v>1682619161.5506053</v>
      </c>
    </row>
    <row r="132" spans="1:8" ht="12.75">
      <c r="A132" s="88" t="s">
        <v>310</v>
      </c>
      <c r="B132" s="19">
        <v>72</v>
      </c>
      <c r="C132" s="89">
        <v>0.0025</v>
      </c>
      <c r="D132" s="80">
        <f t="shared" si="16"/>
        <v>72000</v>
      </c>
      <c r="E132" s="19">
        <v>72</v>
      </c>
      <c r="F132" s="81">
        <f t="shared" si="17"/>
        <v>28800000</v>
      </c>
      <c r="G132" s="80">
        <f t="shared" si="18"/>
        <v>72000</v>
      </c>
      <c r="H132" s="81">
        <f t="shared" si="19"/>
        <v>28800000</v>
      </c>
    </row>
    <row r="133" spans="1:8" ht="12.75">
      <c r="A133" s="88" t="s">
        <v>311</v>
      </c>
      <c r="B133" s="19">
        <v>1613</v>
      </c>
      <c r="C133" s="89">
        <v>0.004</v>
      </c>
      <c r="D133" s="80">
        <f t="shared" si="16"/>
        <v>1613000</v>
      </c>
      <c r="E133" s="19">
        <v>1614</v>
      </c>
      <c r="F133" s="81">
        <f t="shared" si="17"/>
        <v>403250000</v>
      </c>
      <c r="G133" s="80">
        <f t="shared" si="18"/>
        <v>1614000</v>
      </c>
      <c r="H133" s="81">
        <f t="shared" si="19"/>
        <v>403500000</v>
      </c>
    </row>
    <row r="134" spans="1:8" ht="12.75">
      <c r="A134" s="88" t="s">
        <v>312</v>
      </c>
      <c r="B134" s="19">
        <v>13789</v>
      </c>
      <c r="C134" s="89">
        <v>0.003125</v>
      </c>
      <c r="D134" s="80">
        <f t="shared" si="16"/>
        <v>13789000</v>
      </c>
      <c r="E134" s="19">
        <v>13789</v>
      </c>
      <c r="F134" s="81">
        <f t="shared" si="17"/>
        <v>4412480000</v>
      </c>
      <c r="G134" s="80">
        <f t="shared" si="18"/>
        <v>13789000</v>
      </c>
      <c r="H134" s="81">
        <f t="shared" si="19"/>
        <v>4412480000</v>
      </c>
    </row>
    <row r="135" spans="1:8" ht="12.75">
      <c r="A135" s="88" t="s">
        <v>323</v>
      </c>
      <c r="B135" s="19">
        <v>44568</v>
      </c>
      <c r="C135" s="89">
        <v>0.35</v>
      </c>
      <c r="D135" s="80">
        <f t="shared" si="16"/>
        <v>44568000</v>
      </c>
      <c r="E135" s="19">
        <v>44568</v>
      </c>
      <c r="F135" s="81">
        <f t="shared" si="17"/>
        <v>127337142.85714287</v>
      </c>
      <c r="G135" s="80">
        <f t="shared" si="18"/>
        <v>44568000</v>
      </c>
      <c r="H135" s="81">
        <f t="shared" si="19"/>
        <v>127337142.85714287</v>
      </c>
    </row>
    <row r="136" spans="1:8" ht="12.75">
      <c r="A136" s="88" t="s">
        <v>313</v>
      </c>
      <c r="B136" s="19">
        <v>14010</v>
      </c>
      <c r="C136" s="89">
        <v>0.05511463844797178</v>
      </c>
      <c r="D136" s="80">
        <f t="shared" si="16"/>
        <v>14010000</v>
      </c>
      <c r="E136" s="19">
        <v>14011</v>
      </c>
      <c r="F136" s="81">
        <f t="shared" si="17"/>
        <v>254197440</v>
      </c>
      <c r="G136" s="80">
        <f t="shared" si="18"/>
        <v>14011000</v>
      </c>
      <c r="H136" s="81">
        <f t="shared" si="19"/>
        <v>254215584</v>
      </c>
    </row>
    <row r="137" spans="1:8" ht="12.75">
      <c r="A137" s="88" t="s">
        <v>314</v>
      </c>
      <c r="B137" s="19">
        <v>25638</v>
      </c>
      <c r="C137" s="89">
        <v>0.05511463844797178</v>
      </c>
      <c r="D137" s="80">
        <f t="shared" si="16"/>
        <v>25638000</v>
      </c>
      <c r="E137" s="19">
        <v>25641</v>
      </c>
      <c r="F137" s="81">
        <f t="shared" si="17"/>
        <v>465175872</v>
      </c>
      <c r="G137" s="80">
        <f t="shared" si="18"/>
        <v>25641000</v>
      </c>
      <c r="H137" s="81">
        <f t="shared" si="19"/>
        <v>465230304</v>
      </c>
    </row>
    <row r="138" spans="1:8" ht="12.75">
      <c r="A138" s="88" t="s">
        <v>315</v>
      </c>
      <c r="B138" s="19">
        <v>205517</v>
      </c>
      <c r="C138" s="89">
        <v>0.05511463844797178</v>
      </c>
      <c r="D138" s="80">
        <f t="shared" si="16"/>
        <v>205517000</v>
      </c>
      <c r="E138" s="19">
        <v>205516</v>
      </c>
      <c r="F138" s="81">
        <f t="shared" si="17"/>
        <v>3728900448</v>
      </c>
      <c r="G138" s="80">
        <f t="shared" si="18"/>
        <v>205516000</v>
      </c>
      <c r="H138" s="81">
        <f t="shared" si="19"/>
        <v>3728882304</v>
      </c>
    </row>
    <row r="139" spans="1:8" ht="12.75">
      <c r="A139" s="88" t="s">
        <v>316</v>
      </c>
      <c r="B139" s="19">
        <v>45054</v>
      </c>
      <c r="C139" s="89">
        <v>0.05511463844797178</v>
      </c>
      <c r="D139" s="80">
        <f t="shared" si="16"/>
        <v>45054000</v>
      </c>
      <c r="E139" s="19">
        <v>45054</v>
      </c>
      <c r="F139" s="81">
        <f t="shared" si="17"/>
        <v>817459776</v>
      </c>
      <c r="G139" s="80">
        <f t="shared" si="18"/>
        <v>45054000</v>
      </c>
      <c r="H139" s="81">
        <f t="shared" si="19"/>
        <v>817459776</v>
      </c>
    </row>
    <row r="140" spans="1:8" ht="12.75">
      <c r="A140" s="88" t="s">
        <v>317</v>
      </c>
      <c r="B140" s="19">
        <v>36</v>
      </c>
      <c r="C140" s="89">
        <v>0.05511463844797178</v>
      </c>
      <c r="D140" s="80">
        <f t="shared" si="16"/>
        <v>36000</v>
      </c>
      <c r="E140" s="19">
        <v>35</v>
      </c>
      <c r="F140" s="81">
        <f t="shared" si="17"/>
        <v>653184</v>
      </c>
      <c r="G140" s="80">
        <f t="shared" si="18"/>
        <v>35000</v>
      </c>
      <c r="H140" s="81">
        <f t="shared" si="19"/>
        <v>635040</v>
      </c>
    </row>
    <row r="141" spans="1:8" ht="12.75">
      <c r="A141" s="88" t="s">
        <v>318</v>
      </c>
      <c r="B141" s="19">
        <v>30054</v>
      </c>
      <c r="C141" s="89">
        <v>0.23</v>
      </c>
      <c r="D141" s="80">
        <f t="shared" si="16"/>
        <v>30054000</v>
      </c>
      <c r="E141" s="19">
        <v>30054</v>
      </c>
      <c r="F141" s="81">
        <f t="shared" si="17"/>
        <v>130669565.2173913</v>
      </c>
      <c r="G141" s="80">
        <f t="shared" si="18"/>
        <v>30054000</v>
      </c>
      <c r="H141" s="81">
        <f t="shared" si="19"/>
        <v>130669565.2173913</v>
      </c>
    </row>
    <row r="142" spans="1:8" ht="12.75">
      <c r="A142" s="88" t="s">
        <v>319</v>
      </c>
      <c r="B142" s="19">
        <v>35630</v>
      </c>
      <c r="C142" s="89">
        <v>0.2995125</v>
      </c>
      <c r="D142" s="80">
        <f t="shared" si="16"/>
        <v>35630000</v>
      </c>
      <c r="E142" s="19">
        <v>35630</v>
      </c>
      <c r="F142" s="81">
        <f t="shared" si="17"/>
        <v>118959976.62868828</v>
      </c>
      <c r="G142" s="80">
        <f t="shared" si="18"/>
        <v>35630000</v>
      </c>
      <c r="H142" s="81">
        <f t="shared" si="19"/>
        <v>118959976.62868828</v>
      </c>
    </row>
    <row r="143" spans="1:8" ht="12.75">
      <c r="A143" s="88" t="s">
        <v>320</v>
      </c>
      <c r="B143" s="19">
        <v>493</v>
      </c>
      <c r="C143" s="89">
        <v>0.153</v>
      </c>
      <c r="D143" s="80">
        <f t="shared" si="16"/>
        <v>493000</v>
      </c>
      <c r="E143" s="19">
        <v>493</v>
      </c>
      <c r="F143" s="81">
        <f t="shared" si="17"/>
        <v>3222222.2222222225</v>
      </c>
      <c r="G143" s="80">
        <f t="shared" si="18"/>
        <v>493000</v>
      </c>
      <c r="H143" s="81">
        <f t="shared" si="19"/>
        <v>3222222.2222222225</v>
      </c>
    </row>
    <row r="144" spans="1:8" ht="12.75">
      <c r="A144" s="88" t="s">
        <v>328</v>
      </c>
      <c r="B144" s="19">
        <v>156348</v>
      </c>
      <c r="C144" s="89">
        <v>0.147</v>
      </c>
      <c r="D144" s="80">
        <f t="shared" si="16"/>
        <v>156348000</v>
      </c>
      <c r="E144" s="19">
        <v>156348</v>
      </c>
      <c r="F144" s="81">
        <f t="shared" si="17"/>
        <v>1063591836.7346939</v>
      </c>
      <c r="G144" s="80">
        <f t="shared" si="18"/>
        <v>156348000</v>
      </c>
      <c r="H144" s="81">
        <f t="shared" si="19"/>
        <v>1063591836.7346939</v>
      </c>
    </row>
    <row r="145" spans="1:8" ht="12.75">
      <c r="A145" s="88" t="s">
        <v>329</v>
      </c>
      <c r="B145" s="19">
        <v>1258</v>
      </c>
      <c r="C145" s="89">
        <v>0.153</v>
      </c>
      <c r="D145" s="80">
        <f t="shared" si="16"/>
        <v>1258000</v>
      </c>
      <c r="E145" s="19">
        <v>1258</v>
      </c>
      <c r="F145" s="81">
        <f t="shared" si="17"/>
        <v>8222222.222222222</v>
      </c>
      <c r="G145" s="80">
        <f t="shared" si="18"/>
        <v>1258000</v>
      </c>
      <c r="H145" s="81">
        <f t="shared" si="19"/>
        <v>8222222.222222222</v>
      </c>
    </row>
    <row r="146" spans="1:8" ht="13.5" thickBot="1">
      <c r="A146" s="90" t="s">
        <v>321</v>
      </c>
      <c r="B146" s="23">
        <v>7312</v>
      </c>
      <c r="C146" s="91">
        <v>0.09</v>
      </c>
      <c r="D146" s="82">
        <f t="shared" si="16"/>
        <v>7312000</v>
      </c>
      <c r="E146" s="23">
        <v>7316</v>
      </c>
      <c r="F146" s="83">
        <f t="shared" si="17"/>
        <v>81244444.44444445</v>
      </c>
      <c r="G146" s="82">
        <f t="shared" si="18"/>
        <v>7316000</v>
      </c>
      <c r="H146" s="83">
        <f t="shared" si="19"/>
        <v>81288888.8888889</v>
      </c>
    </row>
    <row r="147" spans="1:8" ht="15" thickBot="1" thickTop="1">
      <c r="A147" s="92" t="s">
        <v>492</v>
      </c>
      <c r="B147" s="85"/>
      <c r="C147" s="126">
        <f>G147/H147</f>
        <v>0.08955712946850472</v>
      </c>
      <c r="D147" s="124">
        <f>SUM(D109:D146)</f>
        <v>1292075000</v>
      </c>
      <c r="E147" s="124">
        <f>SUM(E109:E146)</f>
        <v>1292080</v>
      </c>
      <c r="F147" s="125">
        <f>SUM(F109:F146)</f>
        <v>14427103986.72184</v>
      </c>
      <c r="G147" s="124">
        <f>SUM(G109:G146)</f>
        <v>1292080000</v>
      </c>
      <c r="H147" s="127">
        <f>SUM(H109:H146)</f>
        <v>14427438749.635183</v>
      </c>
    </row>
    <row r="148" spans="1:8" ht="13.5" thickBot="1">
      <c r="A148" s="94"/>
      <c r="B148" s="95"/>
      <c r="C148" s="96"/>
      <c r="D148" s="95"/>
      <c r="E148" s="95"/>
      <c r="F148" s="97"/>
      <c r="G148" s="95"/>
      <c r="H148" s="97"/>
    </row>
    <row r="149" spans="1:8" ht="15" thickBot="1" thickTop="1">
      <c r="A149" s="92" t="s">
        <v>491</v>
      </c>
      <c r="B149" s="128"/>
      <c r="C149" s="129">
        <f>G149/H149</f>
        <v>0.4943711786540305</v>
      </c>
      <c r="D149" s="128">
        <f>D106+D147</f>
        <v>9689361000</v>
      </c>
      <c r="E149" s="128">
        <f>E106+E147</f>
        <v>10067993</v>
      </c>
      <c r="F149" s="130">
        <f>F106+F147</f>
        <v>20341513703.832207</v>
      </c>
      <c r="G149" s="128">
        <f>G106+G147</f>
        <v>10067993000</v>
      </c>
      <c r="H149" s="131">
        <f>H106+H147</f>
        <v>20365250715.89126</v>
      </c>
    </row>
  </sheetData>
  <sheetProtection/>
  <printOptions/>
  <pageMargins left="0.75" right="0.75" top="1" bottom="0.25"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O22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C10" sqref="C10"/>
    </sheetView>
  </sheetViews>
  <sheetFormatPr defaultColWidth="9.140625" defaultRowHeight="12.75"/>
  <cols>
    <col min="1" max="1" width="25.8515625" style="164" customWidth="1"/>
    <col min="2" max="2" width="10.00390625" style="164" bestFit="1" customWidth="1"/>
    <col min="3" max="3" width="9.7109375" style="164" customWidth="1"/>
    <col min="4" max="8" width="9.140625" style="164" customWidth="1"/>
    <col min="9" max="14" width="13.00390625" style="164" customWidth="1"/>
    <col min="15" max="16384" width="9.140625" style="164" customWidth="1"/>
  </cols>
  <sheetData>
    <row r="1" spans="1:14" ht="13.5" thickBot="1">
      <c r="A1" s="250" t="s">
        <v>621</v>
      </c>
      <c r="B1" s="250"/>
      <c r="C1" s="239"/>
      <c r="D1" s="239"/>
      <c r="E1" s="239"/>
      <c r="F1" s="239"/>
      <c r="G1" s="239"/>
      <c r="H1" s="239"/>
      <c r="I1" s="239"/>
      <c r="J1" s="239"/>
      <c r="K1" s="239"/>
      <c r="L1" s="239"/>
      <c r="M1" s="239"/>
      <c r="N1" s="239"/>
    </row>
    <row r="2" spans="1:15" ht="13.5" thickBot="1">
      <c r="A2" s="251"/>
      <c r="B2" s="40"/>
      <c r="C2" s="652" t="s">
        <v>693</v>
      </c>
      <c r="D2" s="653"/>
      <c r="E2" s="653"/>
      <c r="F2" s="653"/>
      <c r="G2" s="653"/>
      <c r="H2" s="653"/>
      <c r="I2" s="652" t="s">
        <v>579</v>
      </c>
      <c r="J2" s="653"/>
      <c r="K2" s="653" t="s">
        <v>579</v>
      </c>
      <c r="L2" s="653"/>
      <c r="M2" s="653"/>
      <c r="N2" s="653"/>
      <c r="O2" s="654"/>
    </row>
    <row r="3" spans="1:15" ht="13.5" thickBot="1">
      <c r="A3" s="356" t="s">
        <v>496</v>
      </c>
      <c r="B3" s="357" t="s">
        <v>359</v>
      </c>
      <c r="C3" s="655">
        <v>2011</v>
      </c>
      <c r="D3" s="361">
        <v>2010</v>
      </c>
      <c r="E3" s="361">
        <v>2009</v>
      </c>
      <c r="F3" s="361">
        <v>2008</v>
      </c>
      <c r="G3" s="656">
        <v>2007</v>
      </c>
      <c r="H3" s="656">
        <v>2006</v>
      </c>
      <c r="I3" s="657">
        <v>2011</v>
      </c>
      <c r="J3" s="361">
        <v>2010</v>
      </c>
      <c r="K3" s="361">
        <v>2009</v>
      </c>
      <c r="L3" s="361">
        <v>2008</v>
      </c>
      <c r="M3" s="270">
        <v>2007</v>
      </c>
      <c r="N3" s="613">
        <v>2006</v>
      </c>
      <c r="O3" s="654"/>
    </row>
    <row r="4" spans="1:15" ht="12.75">
      <c r="A4" s="267" t="s">
        <v>170</v>
      </c>
      <c r="B4" s="268">
        <f>'Ave weights'!Q3</f>
        <v>0.6125803402845529</v>
      </c>
      <c r="C4" s="658">
        <v>1387</v>
      </c>
      <c r="D4" s="659">
        <v>1949</v>
      </c>
      <c r="E4" s="659">
        <v>1670</v>
      </c>
      <c r="F4" s="659">
        <v>1430</v>
      </c>
      <c r="G4" s="660">
        <v>932</v>
      </c>
      <c r="H4" s="258">
        <v>315</v>
      </c>
      <c r="I4" s="265">
        <f aca="true" t="shared" si="0" ref="I4:K6">C4*1000/$B4</f>
        <v>2264192.806703064</v>
      </c>
      <c r="J4" s="258">
        <f t="shared" si="0"/>
        <v>3181623.4897363177</v>
      </c>
      <c r="K4" s="258">
        <f t="shared" si="0"/>
        <v>2726173.026095254</v>
      </c>
      <c r="L4" s="258">
        <f aca="true" t="shared" si="1" ref="L4:M6">F4*1000/$B4</f>
        <v>2334387.6810276727</v>
      </c>
      <c r="M4" s="258">
        <f t="shared" si="1"/>
        <v>1521433.0900124412</v>
      </c>
      <c r="N4" s="258">
        <f>H4*1000/$B4</f>
        <v>514218.2654012006</v>
      </c>
      <c r="O4" s="654"/>
    </row>
    <row r="5" spans="1:15" ht="12.75">
      <c r="A5" s="261" t="s">
        <v>171</v>
      </c>
      <c r="B5" s="262">
        <f>'Ave weights'!Q4</f>
        <v>0.07464265807687927</v>
      </c>
      <c r="C5" s="661">
        <v>6202</v>
      </c>
      <c r="D5" s="662">
        <v>2815</v>
      </c>
      <c r="E5" s="662">
        <v>7754</v>
      </c>
      <c r="F5" s="662">
        <v>32359</v>
      </c>
      <c r="G5" s="662">
        <v>23255</v>
      </c>
      <c r="H5" s="39">
        <v>28567</v>
      </c>
      <c r="I5" s="536">
        <f t="shared" si="0"/>
        <v>83089216.80699208</v>
      </c>
      <c r="J5" s="39">
        <f t="shared" si="0"/>
        <v>37713019.23761411</v>
      </c>
      <c r="K5" s="39">
        <f t="shared" si="0"/>
        <v>103881616.7561136</v>
      </c>
      <c r="L5" s="39">
        <f t="shared" si="1"/>
        <v>433518859.5062007</v>
      </c>
      <c r="M5" s="39">
        <f t="shared" si="1"/>
        <v>311551070.1139311</v>
      </c>
      <c r="N5" s="39">
        <f>H5*1000/$B5</f>
        <v>382716810.14597595</v>
      </c>
      <c r="O5" s="654"/>
    </row>
    <row r="6" spans="1:15" ht="12.75">
      <c r="A6" s="261" t="s">
        <v>172</v>
      </c>
      <c r="B6" s="262">
        <f>'Ave weights'!Q5</f>
        <v>1.5933248599264</v>
      </c>
      <c r="C6" s="661">
        <v>112596</v>
      </c>
      <c r="D6" s="662">
        <v>145206</v>
      </c>
      <c r="E6" s="662">
        <v>156887</v>
      </c>
      <c r="F6" s="662">
        <v>127029</v>
      </c>
      <c r="G6" s="662">
        <v>126961</v>
      </c>
      <c r="H6" s="39">
        <v>130814</v>
      </c>
      <c r="I6" s="236">
        <f t="shared" si="0"/>
        <v>70667321.4181828</v>
      </c>
      <c r="J6" s="39">
        <f t="shared" si="0"/>
        <v>91133957.45718011</v>
      </c>
      <c r="K6" s="39">
        <f t="shared" si="0"/>
        <v>98465167.9929522</v>
      </c>
      <c r="L6" s="39">
        <f t="shared" si="1"/>
        <v>79725737.79202053</v>
      </c>
      <c r="M6" s="39">
        <f t="shared" si="1"/>
        <v>79683059.74078925</v>
      </c>
      <c r="N6" s="39">
        <f>H6*1000/$B6</f>
        <v>82101273.43776125</v>
      </c>
      <c r="O6" s="654"/>
    </row>
    <row r="7" spans="1:15" ht="12.75">
      <c r="A7" s="261"/>
      <c r="B7" s="262"/>
      <c r="C7" s="661"/>
      <c r="D7" s="662"/>
      <c r="E7" s="662"/>
      <c r="F7" s="662"/>
      <c r="G7" s="662"/>
      <c r="H7" s="39"/>
      <c r="I7" s="236"/>
      <c r="J7" s="39"/>
      <c r="K7" s="39"/>
      <c r="L7" s="39"/>
      <c r="M7" s="39"/>
      <c r="N7" s="39"/>
      <c r="O7" s="654"/>
    </row>
    <row r="8" spans="1:15" ht="12.75">
      <c r="A8" s="261" t="s">
        <v>173</v>
      </c>
      <c r="B8" s="262">
        <f>'Ave weights'!Q6</f>
        <v>4.691477499645035</v>
      </c>
      <c r="C8" s="661">
        <v>5522</v>
      </c>
      <c r="D8" s="662">
        <v>7386</v>
      </c>
      <c r="E8" s="662">
        <v>7057</v>
      </c>
      <c r="F8" s="662">
        <v>6148</v>
      </c>
      <c r="G8" s="662">
        <v>7663</v>
      </c>
      <c r="H8" s="39">
        <v>7113</v>
      </c>
      <c r="I8" s="236">
        <f aca="true" t="shared" si="2" ref="I8:K10">C8*1000/$B8</f>
        <v>1177027.919331981</v>
      </c>
      <c r="J8" s="39">
        <f t="shared" si="2"/>
        <v>1574344.1166580971</v>
      </c>
      <c r="K8" s="39">
        <f t="shared" si="2"/>
        <v>1504216.9552201722</v>
      </c>
      <c r="L8" s="39">
        <f aca="true" t="shared" si="3" ref="L8:M10">F8*1000/$B8</f>
        <v>1310461.3632837776</v>
      </c>
      <c r="M8" s="39">
        <f t="shared" si="3"/>
        <v>1633387.3498444352</v>
      </c>
      <c r="N8" s="39">
        <f>H8*1000/$B8</f>
        <v>1516153.4933372657</v>
      </c>
      <c r="O8" s="654"/>
    </row>
    <row r="9" spans="1:15" ht="12.75">
      <c r="A9" s="261" t="s">
        <v>174</v>
      </c>
      <c r="B9" s="262">
        <f>'Ave weights'!Q7</f>
        <v>2.56709616174437</v>
      </c>
      <c r="C9" s="663">
        <v>298</v>
      </c>
      <c r="D9" s="664">
        <v>269</v>
      </c>
      <c r="E9" s="664">
        <v>335</v>
      </c>
      <c r="F9" s="664">
        <v>344</v>
      </c>
      <c r="G9" s="664">
        <v>367</v>
      </c>
      <c r="H9" s="39">
        <v>282</v>
      </c>
      <c r="I9" s="236">
        <f t="shared" si="2"/>
        <v>116084.47102250572</v>
      </c>
      <c r="J9" s="39">
        <f t="shared" si="2"/>
        <v>104787.66008407396</v>
      </c>
      <c r="K9" s="39">
        <f t="shared" si="2"/>
        <v>130497.64359912556</v>
      </c>
      <c r="L9" s="39">
        <f t="shared" si="3"/>
        <v>134003.55044208714</v>
      </c>
      <c r="M9" s="39">
        <f t="shared" si="3"/>
        <v>142963.09015187784</v>
      </c>
      <c r="N9" s="39">
        <f>H9*1000/$B9</f>
        <v>109851.74774612958</v>
      </c>
      <c r="O9" s="654"/>
    </row>
    <row r="10" spans="1:15" ht="12.75">
      <c r="A10" s="261" t="s">
        <v>175</v>
      </c>
      <c r="B10" s="262">
        <f>'Ave weights'!Q8</f>
        <v>2.04</v>
      </c>
      <c r="C10" s="661">
        <v>323</v>
      </c>
      <c r="D10" s="662">
        <v>104</v>
      </c>
      <c r="E10" s="662">
        <v>4788</v>
      </c>
      <c r="F10" s="662">
        <v>1830</v>
      </c>
      <c r="G10" s="664">
        <v>604</v>
      </c>
      <c r="H10" s="39">
        <v>5542</v>
      </c>
      <c r="I10" s="236">
        <f t="shared" si="2"/>
        <v>158333.33333333334</v>
      </c>
      <c r="J10" s="39">
        <f t="shared" si="2"/>
        <v>50980.39215686274</v>
      </c>
      <c r="K10" s="39">
        <f t="shared" si="2"/>
        <v>2347058.8235294116</v>
      </c>
      <c r="L10" s="39">
        <f t="shared" si="3"/>
        <v>897058.8235294118</v>
      </c>
      <c r="M10" s="39">
        <f t="shared" si="3"/>
        <v>296078.43137254904</v>
      </c>
      <c r="N10" s="39">
        <f>H10*1000/$B10</f>
        <v>2716666.6666666665</v>
      </c>
      <c r="O10" s="654"/>
    </row>
    <row r="11" spans="1:15" ht="12.75">
      <c r="A11" s="261"/>
      <c r="B11" s="262"/>
      <c r="C11" s="661"/>
      <c r="D11" s="662"/>
      <c r="E11" s="662"/>
      <c r="F11" s="662"/>
      <c r="G11" s="664"/>
      <c r="H11" s="39"/>
      <c r="I11" s="236"/>
      <c r="J11" s="39"/>
      <c r="K11" s="39"/>
      <c r="L11" s="39"/>
      <c r="M11" s="39"/>
      <c r="N11" s="39"/>
      <c r="O11" s="654"/>
    </row>
    <row r="12" spans="1:15" ht="12.75">
      <c r="A12" s="261" t="s">
        <v>176</v>
      </c>
      <c r="B12" s="262">
        <f>'Ave weights'!Q9</f>
        <v>0.34369646135</v>
      </c>
      <c r="C12" s="661">
        <v>1793</v>
      </c>
      <c r="D12" s="662">
        <v>1644</v>
      </c>
      <c r="E12" s="662">
        <v>2644</v>
      </c>
      <c r="F12" s="662">
        <v>2677</v>
      </c>
      <c r="G12" s="662">
        <v>3269</v>
      </c>
      <c r="H12" s="39">
        <v>2519</v>
      </c>
      <c r="I12" s="236">
        <f aca="true" t="shared" si="4" ref="I12:K16">C12*1000/$B12</f>
        <v>5216812.512288614</v>
      </c>
      <c r="J12" s="39">
        <f t="shared" si="4"/>
        <v>4783290.446292517</v>
      </c>
      <c r="K12" s="39">
        <f t="shared" si="4"/>
        <v>7692834.513380421</v>
      </c>
      <c r="L12" s="39">
        <f aca="true" t="shared" si="5" ref="L12:M16">F12*1000/$B12</f>
        <v>7788849.467594323</v>
      </c>
      <c r="M12" s="39">
        <f t="shared" si="5"/>
        <v>9511299.555310363</v>
      </c>
      <c r="N12" s="39">
        <f>H12*1000/$B12</f>
        <v>7329141.504994433</v>
      </c>
      <c r="O12" s="654"/>
    </row>
    <row r="13" spans="1:15" ht="12.75">
      <c r="A13" s="261" t="s">
        <v>177</v>
      </c>
      <c r="B13" s="262">
        <f>'Ave weights'!Q10</f>
        <v>7.5</v>
      </c>
      <c r="C13" s="661">
        <v>11270</v>
      </c>
      <c r="D13" s="662">
        <v>7173</v>
      </c>
      <c r="E13" s="662">
        <v>7636</v>
      </c>
      <c r="F13" s="662">
        <v>8235</v>
      </c>
      <c r="G13" s="662">
        <v>8562</v>
      </c>
      <c r="H13" s="39">
        <v>6560</v>
      </c>
      <c r="I13" s="236">
        <f t="shared" si="4"/>
        <v>1502666.6666666667</v>
      </c>
      <c r="J13" s="39">
        <f t="shared" si="4"/>
        <v>956400</v>
      </c>
      <c r="K13" s="39">
        <f t="shared" si="4"/>
        <v>1018133.3333333334</v>
      </c>
      <c r="L13" s="39">
        <f t="shared" si="5"/>
        <v>1098000</v>
      </c>
      <c r="M13" s="39">
        <f t="shared" si="5"/>
        <v>1141600</v>
      </c>
      <c r="N13" s="39">
        <f>H13*1000/$B13</f>
        <v>874666.6666666666</v>
      </c>
      <c r="O13" s="654"/>
    </row>
    <row r="14" spans="1:15" ht="12.75">
      <c r="A14" s="261" t="s">
        <v>327</v>
      </c>
      <c r="B14" s="262">
        <f>'Ave weights'!Q11</f>
        <v>1.0625</v>
      </c>
      <c r="C14" s="663">
        <v>256</v>
      </c>
      <c r="D14" s="664">
        <v>381</v>
      </c>
      <c r="E14" s="664">
        <v>487</v>
      </c>
      <c r="F14" s="664">
        <v>734</v>
      </c>
      <c r="G14" s="662">
        <v>1206</v>
      </c>
      <c r="H14" s="39">
        <v>1844</v>
      </c>
      <c r="I14" s="236">
        <f t="shared" si="4"/>
        <v>240941.17647058822</v>
      </c>
      <c r="J14" s="39">
        <f t="shared" si="4"/>
        <v>358588.23529411765</v>
      </c>
      <c r="K14" s="39">
        <f t="shared" si="4"/>
        <v>458352.9411764706</v>
      </c>
      <c r="L14" s="39">
        <f t="shared" si="5"/>
        <v>690823.5294117647</v>
      </c>
      <c r="M14" s="39">
        <f t="shared" si="5"/>
        <v>1135058.8235294118</v>
      </c>
      <c r="N14" s="39">
        <f>H14*1000/$B14</f>
        <v>1735529.4117647058</v>
      </c>
      <c r="O14" s="654"/>
    </row>
    <row r="15" spans="1:15" ht="12.75">
      <c r="A15" s="261" t="s">
        <v>178</v>
      </c>
      <c r="B15" s="262">
        <f>'Ave weights'!Q12</f>
        <v>3.327520417666667</v>
      </c>
      <c r="C15" s="661">
        <v>17602</v>
      </c>
      <c r="D15" s="662">
        <v>17714</v>
      </c>
      <c r="E15" s="662">
        <v>19708</v>
      </c>
      <c r="F15" s="662">
        <v>19075</v>
      </c>
      <c r="G15" s="662">
        <v>16969</v>
      </c>
      <c r="H15" s="39">
        <v>12588</v>
      </c>
      <c r="I15" s="236">
        <f t="shared" si="4"/>
        <v>5289824.791621542</v>
      </c>
      <c r="J15" s="39">
        <f t="shared" si="4"/>
        <v>5323483.488170888</v>
      </c>
      <c r="K15" s="39">
        <f t="shared" si="4"/>
        <v>5922728.496379806</v>
      </c>
      <c r="L15" s="39">
        <f t="shared" si="5"/>
        <v>5732496.756060726</v>
      </c>
      <c r="M15" s="39">
        <f t="shared" si="5"/>
        <v>5099593.051302462</v>
      </c>
      <c r="N15" s="39">
        <f>H15*1000/$B15</f>
        <v>3782997.072885579</v>
      </c>
      <c r="O15" s="654"/>
    </row>
    <row r="16" spans="1:15" ht="12.75">
      <c r="A16" s="261" t="s">
        <v>179</v>
      </c>
      <c r="B16" s="262">
        <f>'Ave weights'!Q13</f>
        <v>7.67724589386</v>
      </c>
      <c r="C16" s="661">
        <v>664293</v>
      </c>
      <c r="D16" s="662">
        <v>539635</v>
      </c>
      <c r="E16" s="662">
        <v>491143</v>
      </c>
      <c r="F16" s="662">
        <v>493952</v>
      </c>
      <c r="G16" s="662">
        <v>487566</v>
      </c>
      <c r="H16" s="39">
        <v>518733</v>
      </c>
      <c r="I16" s="236">
        <f t="shared" si="4"/>
        <v>86527513.79648773</v>
      </c>
      <c r="J16" s="39">
        <f t="shared" si="4"/>
        <v>70290180.5491969</v>
      </c>
      <c r="K16" s="39">
        <f t="shared" si="4"/>
        <v>63973852.96630911</v>
      </c>
      <c r="L16" s="39">
        <f t="shared" si="5"/>
        <v>64339739.3842818</v>
      </c>
      <c r="M16" s="39">
        <f t="shared" si="5"/>
        <v>63507930.67471483</v>
      </c>
      <c r="N16" s="39">
        <f>H16*1000/$B16</f>
        <v>67567589.62414698</v>
      </c>
      <c r="O16" s="654"/>
    </row>
    <row r="17" spans="1:15" ht="12.75">
      <c r="A17" s="261"/>
      <c r="B17" s="262"/>
      <c r="C17" s="661"/>
      <c r="D17" s="662"/>
      <c r="E17" s="662"/>
      <c r="F17" s="662"/>
      <c r="G17" s="662"/>
      <c r="H17" s="41"/>
      <c r="I17" s="214"/>
      <c r="J17" s="41"/>
      <c r="K17" s="41"/>
      <c r="L17" s="41"/>
      <c r="M17" s="39"/>
      <c r="N17" s="41"/>
      <c r="O17" s="654"/>
    </row>
    <row r="18" spans="1:15" ht="12.75">
      <c r="A18" s="261"/>
      <c r="B18" s="262"/>
      <c r="C18" s="661"/>
      <c r="D18" s="662"/>
      <c r="E18" s="662"/>
      <c r="F18" s="662"/>
      <c r="G18" s="662"/>
      <c r="H18" s="39"/>
      <c r="I18" s="236"/>
      <c r="J18" s="39"/>
      <c r="K18" s="39"/>
      <c r="L18" s="39"/>
      <c r="M18" s="39"/>
      <c r="N18" s="39"/>
      <c r="O18" s="654"/>
    </row>
    <row r="19" spans="1:15" ht="12.75">
      <c r="A19" s="261" t="s">
        <v>180</v>
      </c>
      <c r="B19" s="262">
        <f>'Ave weights'!Q14</f>
        <v>6.166666666666667</v>
      </c>
      <c r="C19" s="663">
        <v>311</v>
      </c>
      <c r="D19" s="664">
        <v>623</v>
      </c>
      <c r="E19" s="664">
        <v>585</v>
      </c>
      <c r="F19" s="664">
        <v>524</v>
      </c>
      <c r="G19" s="664">
        <v>471</v>
      </c>
      <c r="H19" s="239">
        <v>563</v>
      </c>
      <c r="I19" s="236">
        <f aca="true" t="shared" si="6" ref="I19:K22">C19*1000/$B19</f>
        <v>50432.43243243243</v>
      </c>
      <c r="J19" s="39">
        <f t="shared" si="6"/>
        <v>101027.02702702703</v>
      </c>
      <c r="K19" s="39">
        <f t="shared" si="6"/>
        <v>94864.86486486487</v>
      </c>
      <c r="L19" s="39">
        <f aca="true" t="shared" si="7" ref="L19:M22">F19*1000/$B19</f>
        <v>84972.97297297297</v>
      </c>
      <c r="M19" s="39">
        <f t="shared" si="7"/>
        <v>76378.37837837837</v>
      </c>
      <c r="N19" s="39">
        <f>H19*1000/$B19</f>
        <v>91297.2972972973</v>
      </c>
      <c r="O19" s="654"/>
    </row>
    <row r="20" spans="1:15" ht="12.75">
      <c r="A20" s="261" t="s">
        <v>181</v>
      </c>
      <c r="B20" s="262">
        <f>'Ave weights'!Q15</f>
        <v>0.9772375226319999</v>
      </c>
      <c r="C20" s="661">
        <v>12020</v>
      </c>
      <c r="D20" s="662">
        <v>14382</v>
      </c>
      <c r="E20" s="662">
        <v>16010</v>
      </c>
      <c r="F20" s="662">
        <v>18768</v>
      </c>
      <c r="G20" s="662">
        <v>20303</v>
      </c>
      <c r="H20" s="239">
        <v>20845</v>
      </c>
      <c r="I20" s="236">
        <f t="shared" si="6"/>
        <v>12299977.970172962</v>
      </c>
      <c r="J20" s="39">
        <f t="shared" si="6"/>
        <v>14716995.271799296</v>
      </c>
      <c r="K20" s="39">
        <f t="shared" si="6"/>
        <v>16382915.748957498</v>
      </c>
      <c r="L20" s="39">
        <f t="shared" si="7"/>
        <v>19205156.950433124</v>
      </c>
      <c r="M20" s="39">
        <f t="shared" si="7"/>
        <v>20775911.208687324</v>
      </c>
      <c r="N20" s="39">
        <f>H20*1000/$B20</f>
        <v>21330535.839289133</v>
      </c>
      <c r="O20" s="654"/>
    </row>
    <row r="21" spans="1:15" ht="12.75">
      <c r="A21" s="261" t="s">
        <v>742</v>
      </c>
      <c r="B21" s="262">
        <f>'Ave weights'!Q16</f>
        <v>0.9</v>
      </c>
      <c r="C21" s="663">
        <v>7</v>
      </c>
      <c r="D21" s="664">
        <v>13</v>
      </c>
      <c r="E21" s="664">
        <v>116</v>
      </c>
      <c r="F21" s="664">
        <v>74</v>
      </c>
      <c r="G21" s="664">
        <v>67</v>
      </c>
      <c r="H21" s="239">
        <v>86</v>
      </c>
      <c r="I21" s="236">
        <f t="shared" si="6"/>
        <v>7777.777777777777</v>
      </c>
      <c r="J21" s="39">
        <f t="shared" si="6"/>
        <v>14444.444444444443</v>
      </c>
      <c r="K21" s="39">
        <f t="shared" si="6"/>
        <v>128888.88888888889</v>
      </c>
      <c r="L21" s="39">
        <f t="shared" si="7"/>
        <v>82222.22222222222</v>
      </c>
      <c r="M21" s="39">
        <f t="shared" si="7"/>
        <v>74444.44444444444</v>
      </c>
      <c r="N21" s="39">
        <f>H21*1000/$B21</f>
        <v>95555.55555555555</v>
      </c>
      <c r="O21" s="654"/>
    </row>
    <row r="22" spans="1:15" ht="12.75">
      <c r="A22" s="261" t="s">
        <v>183</v>
      </c>
      <c r="B22" s="262">
        <f>'Ave weights'!Q17</f>
        <v>17.63698096</v>
      </c>
      <c r="C22" s="663">
        <v>89</v>
      </c>
      <c r="D22" s="664">
        <v>75</v>
      </c>
      <c r="E22" s="664">
        <v>106</v>
      </c>
      <c r="F22" s="664">
        <v>118</v>
      </c>
      <c r="G22" s="664">
        <v>194</v>
      </c>
      <c r="H22" s="239">
        <v>144</v>
      </c>
      <c r="I22" s="236">
        <f t="shared" si="6"/>
        <v>5046.215120481709</v>
      </c>
      <c r="J22" s="39">
        <f t="shared" si="6"/>
        <v>4252.428472316047</v>
      </c>
      <c r="K22" s="39">
        <f t="shared" si="6"/>
        <v>6010.098907540013</v>
      </c>
      <c r="L22" s="39">
        <f t="shared" si="7"/>
        <v>6690.48746311058</v>
      </c>
      <c r="M22" s="39">
        <f t="shared" si="7"/>
        <v>10999.614981724175</v>
      </c>
      <c r="N22" s="39">
        <f>H22*1000/$B22</f>
        <v>8164.66266684681</v>
      </c>
      <c r="O22" s="654"/>
    </row>
    <row r="23" spans="1:15" ht="12.75">
      <c r="A23" s="261"/>
      <c r="B23" s="262"/>
      <c r="D23" s="664"/>
      <c r="E23" s="664"/>
      <c r="F23" s="664"/>
      <c r="G23" s="664"/>
      <c r="H23" s="239"/>
      <c r="I23" s="236"/>
      <c r="J23" s="39"/>
      <c r="K23" s="39"/>
      <c r="L23" s="39"/>
      <c r="M23" s="39"/>
      <c r="N23" s="39"/>
      <c r="O23" s="654"/>
    </row>
    <row r="24" spans="1:15" ht="12.75">
      <c r="A24" s="261"/>
      <c r="B24" s="262"/>
      <c r="D24" s="664"/>
      <c r="E24" s="664"/>
      <c r="F24" s="664"/>
      <c r="G24" s="664"/>
      <c r="H24" s="239"/>
      <c r="I24" s="236"/>
      <c r="J24" s="39"/>
      <c r="K24" s="39"/>
      <c r="L24" s="39"/>
      <c r="M24" s="39"/>
      <c r="N24" s="39"/>
      <c r="O24" s="654"/>
    </row>
    <row r="25" spans="1:15" ht="12.75">
      <c r="A25" s="261" t="s">
        <v>184</v>
      </c>
      <c r="B25" s="262">
        <f>'Ave weights'!Q18</f>
        <v>38.576477786666665</v>
      </c>
      <c r="C25" s="663">
        <v>2489</v>
      </c>
      <c r="D25" s="662">
        <v>2255</v>
      </c>
      <c r="E25" s="662">
        <v>2883</v>
      </c>
      <c r="F25" s="662">
        <v>2324</v>
      </c>
      <c r="G25" s="662">
        <v>2616</v>
      </c>
      <c r="H25" s="239">
        <v>2065</v>
      </c>
      <c r="I25" s="236">
        <f aca="true" t="shared" si="8" ref="I25:I36">C25*1000/$B25</f>
        <v>64521.18344667233</v>
      </c>
      <c r="J25" s="39">
        <f aca="true" t="shared" si="9" ref="J25:J36">D25*1000/$B25</f>
        <v>58455.31083657939</v>
      </c>
      <c r="K25" s="39">
        <f aca="true" t="shared" si="10" ref="K25:K36">E25*1000/$B25</f>
        <v>74734.66126024762</v>
      </c>
      <c r="L25" s="39">
        <f aca="true" t="shared" si="11" ref="L25:L36">F25*1000/$B25</f>
        <v>60243.965580581156</v>
      </c>
      <c r="M25" s="39">
        <f aca="true" t="shared" si="12" ref="M25:M36">G25*1000/$B25</f>
        <v>67813.34507693644</v>
      </c>
      <c r="N25" s="39">
        <f aca="true" t="shared" si="13" ref="N25:N36">H25*1000/$B25</f>
        <v>53530.029657444094</v>
      </c>
      <c r="O25" s="654"/>
    </row>
    <row r="26" spans="1:15" ht="12.75">
      <c r="A26" s="261" t="s">
        <v>185</v>
      </c>
      <c r="B26" s="262">
        <f>'Ave weights'!Q19</f>
        <v>1.22046</v>
      </c>
      <c r="C26" s="663">
        <v>1165</v>
      </c>
      <c r="D26" s="664">
        <v>848</v>
      </c>
      <c r="E26" s="664">
        <v>728</v>
      </c>
      <c r="F26" s="664">
        <v>589</v>
      </c>
      <c r="G26" s="664">
        <v>854</v>
      </c>
      <c r="H26" s="239">
        <v>775</v>
      </c>
      <c r="I26" s="236">
        <f t="shared" si="8"/>
        <v>954558.1174311325</v>
      </c>
      <c r="J26" s="39">
        <f t="shared" si="9"/>
        <v>694819.9859069531</v>
      </c>
      <c r="K26" s="39">
        <f t="shared" si="10"/>
        <v>596496.4029955918</v>
      </c>
      <c r="L26" s="39">
        <f t="shared" si="11"/>
        <v>482604.9194565983</v>
      </c>
      <c r="M26" s="39">
        <f t="shared" si="12"/>
        <v>699736.1650525212</v>
      </c>
      <c r="N26" s="39">
        <f t="shared" si="13"/>
        <v>635006.4729692083</v>
      </c>
      <c r="O26" s="654"/>
    </row>
    <row r="27" spans="1:15" ht="12.75">
      <c r="A27" s="261" t="s">
        <v>186</v>
      </c>
      <c r="B27" s="262">
        <f>'Ave weights'!Q20</f>
        <v>5.215515298831025</v>
      </c>
      <c r="C27" s="661">
        <v>93898</v>
      </c>
      <c r="D27" s="662">
        <v>109248</v>
      </c>
      <c r="E27" s="662">
        <v>90074</v>
      </c>
      <c r="F27" s="662">
        <v>86362</v>
      </c>
      <c r="G27" s="662">
        <v>49440</v>
      </c>
      <c r="H27" s="239">
        <v>53047</v>
      </c>
      <c r="I27" s="236">
        <f t="shared" si="8"/>
        <v>18003590.176611263</v>
      </c>
      <c r="J27" s="39">
        <f t="shared" si="9"/>
        <v>20946731.76866842</v>
      </c>
      <c r="K27" s="39">
        <f t="shared" si="10"/>
        <v>17270393.209313117</v>
      </c>
      <c r="L27" s="39">
        <f t="shared" si="11"/>
        <v>16558670.630178513</v>
      </c>
      <c r="M27" s="39">
        <f t="shared" si="12"/>
        <v>9479408.489335885</v>
      </c>
      <c r="N27" s="39">
        <f t="shared" si="13"/>
        <v>10170998.829567166</v>
      </c>
      <c r="O27" s="654"/>
    </row>
    <row r="28" spans="1:15" ht="12.75">
      <c r="A28" s="261" t="s">
        <v>187</v>
      </c>
      <c r="B28" s="262">
        <f>'Ave weights'!Q21</f>
        <v>1.9392358339999998</v>
      </c>
      <c r="C28" s="661">
        <v>4680</v>
      </c>
      <c r="D28" s="662">
        <v>3492</v>
      </c>
      <c r="E28" s="662">
        <v>4873</v>
      </c>
      <c r="F28" s="662">
        <v>5192</v>
      </c>
      <c r="G28" s="662">
        <v>5900</v>
      </c>
      <c r="H28" s="239">
        <v>6051</v>
      </c>
      <c r="I28" s="236">
        <f t="shared" si="8"/>
        <v>2413321.741454578</v>
      </c>
      <c r="J28" s="39">
        <f t="shared" si="9"/>
        <v>1800709.299393031</v>
      </c>
      <c r="K28" s="39">
        <f t="shared" si="10"/>
        <v>2512845.4799376405</v>
      </c>
      <c r="L28" s="39">
        <f t="shared" si="11"/>
        <v>2677343.2653060188</v>
      </c>
      <c r="M28" s="39">
        <f t="shared" si="12"/>
        <v>3042435.5287568397</v>
      </c>
      <c r="N28" s="39">
        <f t="shared" si="13"/>
        <v>3120301.2516114637</v>
      </c>
      <c r="O28" s="654"/>
    </row>
    <row r="29" spans="1:15" ht="12.75">
      <c r="A29" s="261" t="s">
        <v>188</v>
      </c>
      <c r="B29" s="262">
        <f>'Ave weights'!Q22</f>
        <v>2.889008165263333</v>
      </c>
      <c r="C29" s="661">
        <v>3057</v>
      </c>
      <c r="D29" s="662">
        <v>3115</v>
      </c>
      <c r="E29" s="662">
        <v>3068</v>
      </c>
      <c r="F29" s="662">
        <v>2438</v>
      </c>
      <c r="G29" s="662">
        <v>2196</v>
      </c>
      <c r="H29" s="239">
        <v>2440</v>
      </c>
      <c r="I29" s="236">
        <f t="shared" si="8"/>
        <v>1058148.6188777713</v>
      </c>
      <c r="J29" s="39">
        <f t="shared" si="9"/>
        <v>1078224.7130534046</v>
      </c>
      <c r="K29" s="39">
        <f t="shared" si="10"/>
        <v>1061956.1539800467</v>
      </c>
      <c r="L29" s="39">
        <f t="shared" si="11"/>
        <v>843888.2344860997</v>
      </c>
      <c r="M29" s="39">
        <f t="shared" si="12"/>
        <v>760122.4622360439</v>
      </c>
      <c r="N29" s="39">
        <f t="shared" si="13"/>
        <v>844580.5135956042</v>
      </c>
      <c r="O29" s="654"/>
    </row>
    <row r="30" spans="1:15" ht="12.75">
      <c r="A30" s="261" t="s">
        <v>189</v>
      </c>
      <c r="B30" s="262">
        <f>'Ave weights'!Q23</f>
        <v>2.56700946975</v>
      </c>
      <c r="C30" s="661">
        <v>15894</v>
      </c>
      <c r="D30" s="662">
        <v>13004</v>
      </c>
      <c r="E30" s="662">
        <v>10881</v>
      </c>
      <c r="F30" s="662">
        <v>9027</v>
      </c>
      <c r="G30" s="662">
        <v>9787</v>
      </c>
      <c r="H30" s="239">
        <v>13932</v>
      </c>
      <c r="I30" s="236">
        <f t="shared" si="8"/>
        <v>6191640.57916308</v>
      </c>
      <c r="J30" s="39">
        <f t="shared" si="9"/>
        <v>5065816.917795186</v>
      </c>
      <c r="K30" s="39">
        <f t="shared" si="10"/>
        <v>4238784.518804169</v>
      </c>
      <c r="L30" s="39">
        <f t="shared" si="11"/>
        <v>3516543.3187432443</v>
      </c>
      <c r="M30" s="39">
        <f t="shared" si="12"/>
        <v>3812607.6725977766</v>
      </c>
      <c r="N30" s="39">
        <f t="shared" si="13"/>
        <v>5427327.076185984</v>
      </c>
      <c r="O30" s="654"/>
    </row>
    <row r="31" spans="1:15" ht="12.75">
      <c r="A31" s="261" t="s">
        <v>190</v>
      </c>
      <c r="B31" s="262">
        <f>'Ave weights'!Q24</f>
        <v>2.09793952286185</v>
      </c>
      <c r="C31" s="661">
        <v>17318</v>
      </c>
      <c r="D31" s="662">
        <v>23280</v>
      </c>
      <c r="E31" s="662">
        <v>25686</v>
      </c>
      <c r="F31" s="662">
        <v>24639</v>
      </c>
      <c r="G31" s="662">
        <v>20273</v>
      </c>
      <c r="H31" s="239">
        <v>13527</v>
      </c>
      <c r="I31" s="236">
        <f t="shared" si="8"/>
        <v>8254766.074656002</v>
      </c>
      <c r="J31" s="39">
        <f t="shared" si="9"/>
        <v>11096602.045154853</v>
      </c>
      <c r="K31" s="39">
        <f t="shared" si="10"/>
        <v>12243441.586419567</v>
      </c>
      <c r="L31" s="39">
        <f t="shared" si="11"/>
        <v>11744380.48928567</v>
      </c>
      <c r="M31" s="39">
        <f t="shared" si="12"/>
        <v>9663290.947655683</v>
      </c>
      <c r="N31" s="39">
        <f t="shared" si="13"/>
        <v>6447754.977010725</v>
      </c>
      <c r="O31" s="654"/>
    </row>
    <row r="32" spans="1:15" ht="12.75">
      <c r="A32" s="261" t="s">
        <v>191</v>
      </c>
      <c r="B32" s="262">
        <f>'Ave weights'!Q25</f>
        <v>2.8</v>
      </c>
      <c r="C32" s="661">
        <v>31490</v>
      </c>
      <c r="D32" s="662">
        <v>47973</v>
      </c>
      <c r="E32" s="662">
        <v>46112</v>
      </c>
      <c r="F32" s="662">
        <v>55719</v>
      </c>
      <c r="G32" s="662">
        <v>35721</v>
      </c>
      <c r="H32" s="239">
        <v>36205</v>
      </c>
      <c r="I32" s="236">
        <f t="shared" si="8"/>
        <v>11246428.571428573</v>
      </c>
      <c r="J32" s="39">
        <f t="shared" si="9"/>
        <v>17133214.285714287</v>
      </c>
      <c r="K32" s="39">
        <f t="shared" si="10"/>
        <v>16468571.42857143</v>
      </c>
      <c r="L32" s="39">
        <f t="shared" si="11"/>
        <v>19899642.85714286</v>
      </c>
      <c r="M32" s="39">
        <f t="shared" si="12"/>
        <v>12757500</v>
      </c>
      <c r="N32" s="39">
        <f t="shared" si="13"/>
        <v>12930357.142857144</v>
      </c>
      <c r="O32" s="654"/>
    </row>
    <row r="33" spans="1:15" ht="12.75">
      <c r="A33" s="261" t="s">
        <v>192</v>
      </c>
      <c r="B33" s="262">
        <f>'Ave weights'!Q26</f>
        <v>1.433004703</v>
      </c>
      <c r="C33" s="661">
        <v>1919</v>
      </c>
      <c r="D33" s="662">
        <v>1674</v>
      </c>
      <c r="E33" s="662">
        <v>2090</v>
      </c>
      <c r="F33" s="662">
        <v>2204</v>
      </c>
      <c r="G33" s="662">
        <v>2371</v>
      </c>
      <c r="H33" s="239">
        <v>4108</v>
      </c>
      <c r="I33" s="236">
        <f t="shared" si="8"/>
        <v>1339144.2442460707</v>
      </c>
      <c r="J33" s="39">
        <f t="shared" si="9"/>
        <v>1168174.8123334667</v>
      </c>
      <c r="K33" s="39">
        <f t="shared" si="10"/>
        <v>1458473.9293769088</v>
      </c>
      <c r="L33" s="39">
        <f t="shared" si="11"/>
        <v>1538027.0527974674</v>
      </c>
      <c r="M33" s="39">
        <f t="shared" si="12"/>
        <v>1654565.4002644261</v>
      </c>
      <c r="N33" s="39">
        <f t="shared" si="13"/>
        <v>2866703.780803991</v>
      </c>
      <c r="O33" s="654"/>
    </row>
    <row r="34" spans="1:15" ht="12.75">
      <c r="A34" s="261" t="s">
        <v>193</v>
      </c>
      <c r="B34" s="262">
        <f>'Ave weights'!Q27</f>
        <v>4.453044510660879</v>
      </c>
      <c r="C34" s="661">
        <v>2037</v>
      </c>
      <c r="D34" s="662">
        <v>1766</v>
      </c>
      <c r="E34" s="662">
        <v>3881</v>
      </c>
      <c r="F34" s="662">
        <v>4866</v>
      </c>
      <c r="G34" s="662">
        <v>4941</v>
      </c>
      <c r="H34" s="239">
        <v>5749</v>
      </c>
      <c r="I34" s="236">
        <f t="shared" si="8"/>
        <v>457439.8470806409</v>
      </c>
      <c r="J34" s="39">
        <f t="shared" si="9"/>
        <v>396582.6067473794</v>
      </c>
      <c r="K34" s="39">
        <f t="shared" si="10"/>
        <v>871538.5599018004</v>
      </c>
      <c r="L34" s="39">
        <f t="shared" si="11"/>
        <v>1092735.5404488947</v>
      </c>
      <c r="M34" s="39">
        <f t="shared" si="12"/>
        <v>1109577.9501352217</v>
      </c>
      <c r="N34" s="39">
        <f t="shared" si="13"/>
        <v>1291026.8438225845</v>
      </c>
      <c r="O34" s="654"/>
    </row>
    <row r="35" spans="1:15" ht="12.75">
      <c r="A35" s="261" t="s">
        <v>194</v>
      </c>
      <c r="B35" s="262">
        <f>'Ave weights'!Q28</f>
        <v>2.637125</v>
      </c>
      <c r="C35" s="661">
        <v>130455</v>
      </c>
      <c r="D35" s="662">
        <v>117785</v>
      </c>
      <c r="E35" s="662">
        <v>110320</v>
      </c>
      <c r="F35" s="662">
        <v>116798</v>
      </c>
      <c r="G35" s="662">
        <v>75754</v>
      </c>
      <c r="H35" s="239">
        <v>75500</v>
      </c>
      <c r="I35" s="236">
        <f t="shared" si="8"/>
        <v>49468644.83101863</v>
      </c>
      <c r="J35" s="39">
        <f t="shared" si="9"/>
        <v>44664170.261174574</v>
      </c>
      <c r="K35" s="39">
        <f t="shared" si="10"/>
        <v>41833436.03355927</v>
      </c>
      <c r="L35" s="39">
        <f t="shared" si="11"/>
        <v>44289899.03777788</v>
      </c>
      <c r="M35" s="39">
        <f t="shared" si="12"/>
        <v>28725979.99715599</v>
      </c>
      <c r="N35" s="39">
        <f t="shared" si="13"/>
        <v>28629662.985258564</v>
      </c>
      <c r="O35" s="654"/>
    </row>
    <row r="36" spans="1:15" ht="12.75">
      <c r="A36" s="261" t="s">
        <v>195</v>
      </c>
      <c r="B36" s="262">
        <f>'Ave weights'!Q29</f>
        <v>1.849837262</v>
      </c>
      <c r="C36" s="661">
        <v>322789</v>
      </c>
      <c r="D36" s="662">
        <v>249662</v>
      </c>
      <c r="E36" s="662">
        <v>221879</v>
      </c>
      <c r="F36" s="662">
        <v>311371</v>
      </c>
      <c r="G36" s="662">
        <v>240490</v>
      </c>
      <c r="H36" s="239">
        <v>199673</v>
      </c>
      <c r="I36" s="536">
        <f t="shared" si="8"/>
        <v>174495890.33091927</v>
      </c>
      <c r="J36" s="39">
        <f t="shared" si="9"/>
        <v>134964304.76812395</v>
      </c>
      <c r="K36" s="39">
        <f t="shared" si="10"/>
        <v>119945145.74763712</v>
      </c>
      <c r="L36" s="39">
        <f t="shared" si="11"/>
        <v>168323455.47161976</v>
      </c>
      <c r="M36" s="39">
        <f t="shared" si="12"/>
        <v>130006030.76834333</v>
      </c>
      <c r="N36" s="39">
        <f t="shared" si="13"/>
        <v>107940846.52836883</v>
      </c>
      <c r="O36" s="654"/>
    </row>
    <row r="37" spans="1:15" ht="12.75">
      <c r="A37" s="261"/>
      <c r="B37" s="262"/>
      <c r="C37" s="661"/>
      <c r="D37" s="662"/>
      <c r="E37" s="662"/>
      <c r="F37" s="662"/>
      <c r="G37" s="662"/>
      <c r="H37" s="239"/>
      <c r="I37" s="236"/>
      <c r="J37" s="39"/>
      <c r="K37" s="39"/>
      <c r="L37" s="39"/>
      <c r="M37" s="39"/>
      <c r="N37" s="39"/>
      <c r="O37" s="654"/>
    </row>
    <row r="38" spans="1:15" ht="12.75">
      <c r="A38" s="261"/>
      <c r="B38" s="262"/>
      <c r="C38" s="215"/>
      <c r="D38" s="38"/>
      <c r="E38" s="38"/>
      <c r="F38" s="38"/>
      <c r="G38" s="38"/>
      <c r="H38" s="41"/>
      <c r="I38" s="214"/>
      <c r="J38" s="41"/>
      <c r="K38" s="41"/>
      <c r="L38" s="41"/>
      <c r="M38" s="39"/>
      <c r="N38" s="41"/>
      <c r="O38" s="654"/>
    </row>
    <row r="39" spans="1:15" ht="12.75">
      <c r="A39" s="261" t="s">
        <v>196</v>
      </c>
      <c r="B39" s="262">
        <f>'Ave weights'!Q30</f>
        <v>1.7085825305</v>
      </c>
      <c r="C39" s="661">
        <v>4037</v>
      </c>
      <c r="D39" s="662">
        <v>2905</v>
      </c>
      <c r="E39" s="662">
        <v>3535</v>
      </c>
      <c r="F39" s="662">
        <v>3678</v>
      </c>
      <c r="G39" s="662">
        <v>3870</v>
      </c>
      <c r="H39" s="239">
        <v>4266</v>
      </c>
      <c r="I39" s="236">
        <f aca="true" t="shared" si="14" ref="I39:K41">C39*1000/$B39</f>
        <v>2362777.2893233383</v>
      </c>
      <c r="J39" s="39">
        <f t="shared" si="14"/>
        <v>1700239.7883290309</v>
      </c>
      <c r="K39" s="39">
        <f t="shared" si="14"/>
        <v>2068966.4894124353</v>
      </c>
      <c r="L39" s="39">
        <f aca="true" t="shared" si="15" ref="L39:M41">F39*1000/$B39</f>
        <v>2152661.597753589</v>
      </c>
      <c r="M39" s="39">
        <f t="shared" si="15"/>
        <v>2265035.4495123406</v>
      </c>
      <c r="N39" s="39">
        <f>H39*1000/$B39</f>
        <v>2496806.5187647664</v>
      </c>
      <c r="O39" s="654"/>
    </row>
    <row r="40" spans="1:15" ht="12.75">
      <c r="A40" s="261" t="s">
        <v>197</v>
      </c>
      <c r="B40" s="262">
        <f>'Ave weights'!Q31</f>
        <v>1.9194849999999999</v>
      </c>
      <c r="C40" s="661">
        <v>3541</v>
      </c>
      <c r="D40" s="662">
        <v>6319</v>
      </c>
      <c r="E40" s="662">
        <v>7048</v>
      </c>
      <c r="F40" s="662">
        <v>3357</v>
      </c>
      <c r="G40" s="662">
        <v>3060</v>
      </c>
      <c r="H40" s="239">
        <v>3014</v>
      </c>
      <c r="I40" s="236">
        <f t="shared" si="14"/>
        <v>1844765.65328721</v>
      </c>
      <c r="J40" s="39">
        <f t="shared" si="14"/>
        <v>3292028.851488811</v>
      </c>
      <c r="K40" s="39">
        <f t="shared" si="14"/>
        <v>3671818.2220751923</v>
      </c>
      <c r="L40" s="39">
        <f t="shared" si="15"/>
        <v>1748906.607761978</v>
      </c>
      <c r="M40" s="39">
        <f t="shared" si="15"/>
        <v>1594177.6049304893</v>
      </c>
      <c r="N40" s="39">
        <f>H40*1000/$B40</f>
        <v>1570212.8435491812</v>
      </c>
      <c r="O40" s="654"/>
    </row>
    <row r="41" spans="1:15" ht="12.75">
      <c r="A41" s="261" t="s">
        <v>198</v>
      </c>
      <c r="B41" s="262">
        <f>'Ave weights'!Q32</f>
        <v>2.33351316769348</v>
      </c>
      <c r="C41" s="661">
        <v>76245</v>
      </c>
      <c r="D41" s="662">
        <v>44135</v>
      </c>
      <c r="E41" s="662">
        <v>45672</v>
      </c>
      <c r="F41" s="662">
        <v>37465</v>
      </c>
      <c r="G41" s="662">
        <v>29086</v>
      </c>
      <c r="H41" s="239">
        <v>28275</v>
      </c>
      <c r="I41" s="236">
        <f t="shared" si="14"/>
        <v>32673910.33210369</v>
      </c>
      <c r="J41" s="39">
        <f t="shared" si="14"/>
        <v>18913542.297952604</v>
      </c>
      <c r="K41" s="39">
        <f t="shared" si="14"/>
        <v>19572205.819238503</v>
      </c>
      <c r="L41" s="39">
        <f t="shared" si="15"/>
        <v>16055191.167843986</v>
      </c>
      <c r="M41" s="39">
        <f t="shared" si="15"/>
        <v>12464467.911595093</v>
      </c>
      <c r="N41" s="39">
        <f>H41*1000/$B41</f>
        <v>12116923.268938707</v>
      </c>
      <c r="O41" s="654"/>
    </row>
    <row r="42" spans="1:15" ht="12.75">
      <c r="A42" s="261"/>
      <c r="B42" s="262"/>
      <c r="C42" s="215"/>
      <c r="D42" s="38"/>
      <c r="E42" s="38"/>
      <c r="F42" s="38"/>
      <c r="G42" s="38"/>
      <c r="H42" s="41"/>
      <c r="I42" s="214"/>
      <c r="J42" s="41"/>
      <c r="K42" s="41"/>
      <c r="L42" s="41"/>
      <c r="M42" s="39"/>
      <c r="N42" s="41"/>
      <c r="O42" s="654"/>
    </row>
    <row r="43" spans="1:15" ht="12.75">
      <c r="A43" s="261" t="s">
        <v>199</v>
      </c>
      <c r="B43" s="262">
        <f>'Ave weights'!Q33</f>
        <v>66.1386786</v>
      </c>
      <c r="C43" s="661">
        <v>18927</v>
      </c>
      <c r="D43" s="662">
        <v>15985</v>
      </c>
      <c r="E43" s="662">
        <v>18878</v>
      </c>
      <c r="F43" s="662">
        <v>24111</v>
      </c>
      <c r="G43" s="662">
        <v>26805</v>
      </c>
      <c r="H43" s="239">
        <v>32147</v>
      </c>
      <c r="I43" s="236">
        <f aca="true" t="shared" si="16" ref="I43:I49">C43*1000/$B43</f>
        <v>286171.42647298065</v>
      </c>
      <c r="J43" s="39">
        <f aca="true" t="shared" si="17" ref="J43:J49">D43*1000/$B43</f>
        <v>241689.13468434487</v>
      </c>
      <c r="K43" s="39">
        <f aca="true" t="shared" si="18" ref="K43:K49">E43*1000/$B43</f>
        <v>285430.5589346927</v>
      </c>
      <c r="L43" s="39">
        <f aca="true" t="shared" si="19" ref="L43:M49">F43*1000/$B43</f>
        <v>364552.18807471</v>
      </c>
      <c r="M43" s="39">
        <f t="shared" si="19"/>
        <v>405284.78293486795</v>
      </c>
      <c r="N43" s="39">
        <f aca="true" t="shared" si="20" ref="N43:N49">H43*1000/$B43</f>
        <v>486054.464353934</v>
      </c>
      <c r="O43" s="654"/>
    </row>
    <row r="44" spans="1:15" ht="12.75">
      <c r="A44" s="261" t="s">
        <v>200</v>
      </c>
      <c r="B44" s="262">
        <f>'Ave weights'!Q34</f>
        <v>10</v>
      </c>
      <c r="C44" s="661">
        <v>8526</v>
      </c>
      <c r="D44" s="662">
        <v>6187</v>
      </c>
      <c r="E44" s="662">
        <v>8273</v>
      </c>
      <c r="F44" s="662">
        <v>10421</v>
      </c>
      <c r="G44" s="662">
        <v>9576</v>
      </c>
      <c r="H44" s="39">
        <v>10644</v>
      </c>
      <c r="I44" s="236">
        <f t="shared" si="16"/>
        <v>852600</v>
      </c>
      <c r="J44" s="39">
        <f t="shared" si="17"/>
        <v>618700</v>
      </c>
      <c r="K44" s="39">
        <f t="shared" si="18"/>
        <v>827300</v>
      </c>
      <c r="L44" s="39">
        <f t="shared" si="19"/>
        <v>1042100</v>
      </c>
      <c r="M44" s="39">
        <f t="shared" si="19"/>
        <v>957600</v>
      </c>
      <c r="N44" s="39">
        <f t="shared" si="20"/>
        <v>1064400</v>
      </c>
      <c r="O44" s="654"/>
    </row>
    <row r="45" spans="1:15" ht="12.75">
      <c r="A45" s="261" t="s">
        <v>201</v>
      </c>
      <c r="B45" s="262">
        <f>'Ave weights'!Q35</f>
        <v>3.2909351342499997</v>
      </c>
      <c r="C45" s="661">
        <v>12585</v>
      </c>
      <c r="D45" s="662">
        <v>21611</v>
      </c>
      <c r="E45" s="662">
        <v>12816</v>
      </c>
      <c r="F45" s="662">
        <v>14000</v>
      </c>
      <c r="G45" s="662">
        <v>8012</v>
      </c>
      <c r="H45" s="39">
        <v>7201</v>
      </c>
      <c r="I45" s="236">
        <f t="shared" si="16"/>
        <v>3824141.0075279735</v>
      </c>
      <c r="J45" s="39">
        <f t="shared" si="17"/>
        <v>6566826.484996983</v>
      </c>
      <c r="K45" s="39">
        <f t="shared" si="18"/>
        <v>3894333.822207271</v>
      </c>
      <c r="L45" s="39">
        <f t="shared" si="19"/>
        <v>4254109.980563498</v>
      </c>
      <c r="M45" s="39">
        <f t="shared" si="19"/>
        <v>2434566.368876768</v>
      </c>
      <c r="N45" s="39">
        <f t="shared" si="20"/>
        <v>2188131.8550026966</v>
      </c>
      <c r="O45" s="654"/>
    </row>
    <row r="46" spans="1:15" ht="12.75">
      <c r="A46" s="261" t="s">
        <v>202</v>
      </c>
      <c r="B46" s="262">
        <f>'Ave weights'!Q36</f>
        <v>2.1870993914639247</v>
      </c>
      <c r="C46" s="661">
        <v>496372</v>
      </c>
      <c r="D46" s="662">
        <v>355272</v>
      </c>
      <c r="E46" s="662">
        <v>253062</v>
      </c>
      <c r="F46" s="662">
        <v>531418</v>
      </c>
      <c r="G46" s="662">
        <v>455188</v>
      </c>
      <c r="H46" s="39">
        <v>570489</v>
      </c>
      <c r="I46" s="536">
        <f t="shared" si="16"/>
        <v>226954477.66905358</v>
      </c>
      <c r="J46" s="39">
        <f t="shared" si="17"/>
        <v>162439805.610389</v>
      </c>
      <c r="K46" s="39">
        <f t="shared" si="18"/>
        <v>115706675.69461219</v>
      </c>
      <c r="L46" s="39">
        <f t="shared" si="19"/>
        <v>242978440.79426947</v>
      </c>
      <c r="M46" s="39">
        <f t="shared" si="19"/>
        <v>208124057.7252971</v>
      </c>
      <c r="N46" s="39">
        <f t="shared" si="20"/>
        <v>260842740.9502162</v>
      </c>
      <c r="O46" s="654"/>
    </row>
    <row r="47" spans="1:15" ht="12.75">
      <c r="A47" s="261" t="s">
        <v>203</v>
      </c>
      <c r="B47" s="262">
        <f>'Ave weights'!Q37</f>
        <v>2.653466965</v>
      </c>
      <c r="C47" s="661">
        <v>1311</v>
      </c>
      <c r="D47" s="662">
        <v>1326</v>
      </c>
      <c r="E47" s="662">
        <v>1352</v>
      </c>
      <c r="F47" s="662">
        <v>1295</v>
      </c>
      <c r="G47" s="662">
        <v>1128</v>
      </c>
      <c r="H47" s="39">
        <v>998</v>
      </c>
      <c r="I47" s="236">
        <f t="shared" si="16"/>
        <v>494070.59416697884</v>
      </c>
      <c r="J47" s="39">
        <f t="shared" si="17"/>
        <v>499723.5757936033</v>
      </c>
      <c r="K47" s="39">
        <f t="shared" si="18"/>
        <v>509522.0772797524</v>
      </c>
      <c r="L47" s="39">
        <f t="shared" si="19"/>
        <v>488040.7470985794</v>
      </c>
      <c r="M47" s="39">
        <f t="shared" si="19"/>
        <v>425104.2183221603</v>
      </c>
      <c r="N47" s="39">
        <f t="shared" si="20"/>
        <v>376111.7108914149</v>
      </c>
      <c r="O47" s="654"/>
    </row>
    <row r="48" spans="1:15" ht="12.75">
      <c r="A48" s="261" t="s">
        <v>204</v>
      </c>
      <c r="B48" s="262">
        <f>'Ave weights'!Q38</f>
        <v>2.2869105534974388</v>
      </c>
      <c r="C48" s="661">
        <v>17131</v>
      </c>
      <c r="D48" s="662">
        <v>17564</v>
      </c>
      <c r="E48" s="662">
        <v>17131</v>
      </c>
      <c r="F48" s="662">
        <v>13845</v>
      </c>
      <c r="G48" s="662">
        <v>14044</v>
      </c>
      <c r="H48" s="39">
        <v>12281</v>
      </c>
      <c r="I48" s="236">
        <f t="shared" si="16"/>
        <v>7490892.013157692</v>
      </c>
      <c r="J48" s="39">
        <f t="shared" si="17"/>
        <v>7680230.419654527</v>
      </c>
      <c r="K48" s="39">
        <f t="shared" si="18"/>
        <v>7490892.013157692</v>
      </c>
      <c r="L48" s="39">
        <f t="shared" si="19"/>
        <v>6054019.025285637</v>
      </c>
      <c r="M48" s="39">
        <f t="shared" si="19"/>
        <v>6141035.983467785</v>
      </c>
      <c r="N48" s="39">
        <f t="shared" si="20"/>
        <v>5370126.951934482</v>
      </c>
      <c r="O48" s="654"/>
    </row>
    <row r="49" spans="1:15" ht="12.75">
      <c r="A49" s="261" t="s">
        <v>205</v>
      </c>
      <c r="B49" s="262">
        <f>'Ave weights'!Q39</f>
        <v>7.3163476685874</v>
      </c>
      <c r="C49" s="661">
        <v>6432</v>
      </c>
      <c r="D49" s="662">
        <v>4115</v>
      </c>
      <c r="E49" s="662">
        <v>3911</v>
      </c>
      <c r="F49" s="662">
        <v>3014</v>
      </c>
      <c r="G49" s="662">
        <v>3383</v>
      </c>
      <c r="H49" s="39">
        <v>3766</v>
      </c>
      <c r="I49" s="236">
        <f t="shared" si="16"/>
        <v>879127.1671814709</v>
      </c>
      <c r="J49" s="39">
        <f t="shared" si="17"/>
        <v>562439.1002723497</v>
      </c>
      <c r="K49" s="39">
        <f t="shared" si="18"/>
        <v>534556.335641594</v>
      </c>
      <c r="L49" s="39">
        <f t="shared" si="19"/>
        <v>411954.17939753627</v>
      </c>
      <c r="M49" s="39">
        <f t="shared" si="19"/>
        <v>462389.1801266971</v>
      </c>
      <c r="N49" s="39">
        <f t="shared" si="20"/>
        <v>514737.703918753</v>
      </c>
      <c r="O49" s="654"/>
    </row>
    <row r="50" spans="1:15" ht="12.75">
      <c r="A50" s="261"/>
      <c r="B50" s="262"/>
      <c r="C50" s="661"/>
      <c r="D50" s="662"/>
      <c r="E50" s="662"/>
      <c r="F50" s="662"/>
      <c r="G50" s="662"/>
      <c r="H50" s="41"/>
      <c r="I50" s="214"/>
      <c r="J50" s="41"/>
      <c r="K50" s="41"/>
      <c r="L50" s="41"/>
      <c r="M50" s="39"/>
      <c r="N50" s="41"/>
      <c r="O50" s="654"/>
    </row>
    <row r="51" spans="1:15" ht="12.75">
      <c r="A51" s="261" t="s">
        <v>206</v>
      </c>
      <c r="B51" s="262">
        <f>'Ave weights'!Q40</f>
        <v>29.5</v>
      </c>
      <c r="C51" s="661">
        <v>42840</v>
      </c>
      <c r="D51" s="662">
        <v>56497</v>
      </c>
      <c r="E51" s="662">
        <v>59716</v>
      </c>
      <c r="F51" s="662">
        <v>66923</v>
      </c>
      <c r="G51" s="662">
        <v>69888</v>
      </c>
      <c r="H51" s="239">
        <v>71847</v>
      </c>
      <c r="I51" s="236">
        <f aca="true" t="shared" si="21" ref="I51:N51">C51*1000/$B51</f>
        <v>1452203.3898305085</v>
      </c>
      <c r="J51" s="39">
        <f t="shared" si="21"/>
        <v>1915152.5423728814</v>
      </c>
      <c r="K51" s="39">
        <f t="shared" si="21"/>
        <v>2024271.186440678</v>
      </c>
      <c r="L51" s="39">
        <f t="shared" si="21"/>
        <v>2268576.2711864407</v>
      </c>
      <c r="M51" s="39">
        <f t="shared" si="21"/>
        <v>2369084.745762712</v>
      </c>
      <c r="N51" s="39">
        <f t="shared" si="21"/>
        <v>2435491.525423729</v>
      </c>
      <c r="O51" s="654"/>
    </row>
    <row r="52" spans="1:15" ht="12.75">
      <c r="A52" s="261"/>
      <c r="B52" s="262"/>
      <c r="C52" s="661"/>
      <c r="D52" s="662"/>
      <c r="E52" s="662"/>
      <c r="F52" s="662"/>
      <c r="G52" s="662"/>
      <c r="H52" s="239"/>
      <c r="I52" s="236"/>
      <c r="J52" s="39"/>
      <c r="K52" s="39"/>
      <c r="L52" s="39"/>
      <c r="M52" s="39"/>
      <c r="N52" s="39"/>
      <c r="O52" s="654"/>
    </row>
    <row r="53" spans="1:15" ht="12.75">
      <c r="A53" s="261" t="s">
        <v>207</v>
      </c>
      <c r="B53" s="262">
        <f>'Ave weights'!Q41</f>
        <v>0.625</v>
      </c>
      <c r="C53" s="661">
        <v>173809</v>
      </c>
      <c r="D53" s="662">
        <v>144513</v>
      </c>
      <c r="E53" s="662">
        <v>224328</v>
      </c>
      <c r="F53" s="662">
        <v>173217</v>
      </c>
      <c r="G53" s="662">
        <v>163380</v>
      </c>
      <c r="H53" s="39">
        <v>282947</v>
      </c>
      <c r="I53" s="536">
        <f aca="true" t="shared" si="22" ref="I53:K55">C53*1000/$B53</f>
        <v>278094400</v>
      </c>
      <c r="J53" s="39">
        <f t="shared" si="22"/>
        <v>231220800</v>
      </c>
      <c r="K53" s="39">
        <f t="shared" si="22"/>
        <v>358924800</v>
      </c>
      <c r="L53" s="39">
        <f aca="true" t="shared" si="23" ref="L53:M55">F53*1000/$B53</f>
        <v>277147200</v>
      </c>
      <c r="M53" s="39">
        <f t="shared" si="23"/>
        <v>261408000</v>
      </c>
      <c r="N53" s="39">
        <f>H53*1000/$B53</f>
        <v>452715200</v>
      </c>
      <c r="O53" s="654"/>
    </row>
    <row r="54" spans="1:15" ht="12.75">
      <c r="A54" s="261" t="s">
        <v>208</v>
      </c>
      <c r="B54" s="262">
        <f>'Ave weights'!Q42</f>
        <v>0.5682362239200001</v>
      </c>
      <c r="C54" s="661">
        <v>102532</v>
      </c>
      <c r="D54" s="662">
        <v>108868</v>
      </c>
      <c r="E54" s="662">
        <v>88723</v>
      </c>
      <c r="F54" s="662">
        <v>86219</v>
      </c>
      <c r="G54" s="662">
        <v>69329</v>
      </c>
      <c r="H54" s="39">
        <v>81932</v>
      </c>
      <c r="I54" s="236">
        <f t="shared" si="22"/>
        <v>180439042.2220515</v>
      </c>
      <c r="J54" s="39">
        <f t="shared" si="22"/>
        <v>191589334.53585517</v>
      </c>
      <c r="K54" s="39">
        <f t="shared" si="22"/>
        <v>156137529.19154093</v>
      </c>
      <c r="L54" s="39">
        <f t="shared" si="23"/>
        <v>151730911.14328265</v>
      </c>
      <c r="M54" s="39">
        <f t="shared" si="23"/>
        <v>122007357.29540639</v>
      </c>
      <c r="N54" s="39">
        <f>H54*1000/$B54</f>
        <v>144186513.5502782</v>
      </c>
      <c r="O54" s="654"/>
    </row>
    <row r="55" spans="1:15" ht="12.75">
      <c r="A55" s="261" t="s">
        <v>209</v>
      </c>
      <c r="B55" s="262">
        <f>'Ave weights'!Q43</f>
        <v>0.39848028218</v>
      </c>
      <c r="C55" s="663">
        <v>741</v>
      </c>
      <c r="D55" s="664">
        <v>1174</v>
      </c>
      <c r="E55" s="664">
        <v>865</v>
      </c>
      <c r="F55" s="664">
        <v>914</v>
      </c>
      <c r="G55" s="664">
        <v>114</v>
      </c>
      <c r="H55" s="39">
        <v>515</v>
      </c>
      <c r="I55" s="236">
        <f t="shared" si="22"/>
        <v>1859565.035304001</v>
      </c>
      <c r="J55" s="39">
        <f t="shared" si="22"/>
        <v>2946193.4567434513</v>
      </c>
      <c r="K55" s="39">
        <f t="shared" si="22"/>
        <v>2170747.308418301</v>
      </c>
      <c r="L55" s="39">
        <f t="shared" si="23"/>
        <v>2293714.4969876613</v>
      </c>
      <c r="M55" s="39">
        <f t="shared" si="23"/>
        <v>286086.92850830784</v>
      </c>
      <c r="N55" s="39">
        <f>H55*1000/$B55</f>
        <v>1292410.2472085839</v>
      </c>
      <c r="O55" s="654"/>
    </row>
    <row r="56" spans="1:15" ht="12.75">
      <c r="A56" s="261"/>
      <c r="B56" s="262"/>
      <c r="C56" s="663"/>
      <c r="D56" s="664"/>
      <c r="E56" s="664"/>
      <c r="F56" s="664"/>
      <c r="G56" s="664"/>
      <c r="H56" s="41"/>
      <c r="I56" s="214"/>
      <c r="J56" s="41"/>
      <c r="K56" s="41"/>
      <c r="L56" s="41"/>
      <c r="M56" s="39"/>
      <c r="N56" s="41"/>
      <c r="O56" s="654"/>
    </row>
    <row r="57" spans="1:15" ht="12.75">
      <c r="A57" s="261" t="s">
        <v>210</v>
      </c>
      <c r="B57" s="262">
        <f>'Ave weights'!Q44</f>
        <v>2.26635205336</v>
      </c>
      <c r="C57" s="663">
        <v>243</v>
      </c>
      <c r="D57" s="664">
        <v>684</v>
      </c>
      <c r="E57" s="664">
        <v>265</v>
      </c>
      <c r="F57" s="664">
        <v>623</v>
      </c>
      <c r="G57" s="662">
        <v>1415</v>
      </c>
      <c r="H57" s="39">
        <v>2590</v>
      </c>
      <c r="I57" s="236">
        <f aca="true" t="shared" si="24" ref="I57:K60">C57*1000/$B57</f>
        <v>107220.76459380538</v>
      </c>
      <c r="J57" s="39">
        <f t="shared" si="24"/>
        <v>301806.59663441515</v>
      </c>
      <c r="K57" s="39">
        <f t="shared" si="24"/>
        <v>116927.99431011698</v>
      </c>
      <c r="L57" s="39">
        <f aca="true" t="shared" si="25" ref="L57:M60">F57*1000/$B57</f>
        <v>274891.0960573694</v>
      </c>
      <c r="M57" s="39">
        <f t="shared" si="25"/>
        <v>624351.3658445869</v>
      </c>
      <c r="N57" s="39">
        <f>H57*1000/$B57</f>
        <v>1142805.6802385019</v>
      </c>
      <c r="O57" s="654"/>
    </row>
    <row r="58" spans="1:15" ht="12.75">
      <c r="A58" s="261" t="s">
        <v>211</v>
      </c>
      <c r="B58" s="262">
        <f>'Ave weights'!Q45</f>
        <v>14.056710255399999</v>
      </c>
      <c r="C58" s="663">
        <v>1383</v>
      </c>
      <c r="D58" s="664">
        <v>899</v>
      </c>
      <c r="E58" s="664">
        <v>514</v>
      </c>
      <c r="F58" s="664">
        <v>625</v>
      </c>
      <c r="G58" s="664">
        <v>596</v>
      </c>
      <c r="H58" s="39">
        <v>0</v>
      </c>
      <c r="I58" s="236">
        <f t="shared" si="24"/>
        <v>98387.1741589544</v>
      </c>
      <c r="J58" s="39">
        <f t="shared" si="24"/>
        <v>63955.22022335503</v>
      </c>
      <c r="K58" s="39">
        <f t="shared" si="24"/>
        <v>36566.16595640098</v>
      </c>
      <c r="L58" s="39">
        <f t="shared" si="25"/>
        <v>44462.75043336696</v>
      </c>
      <c r="M58" s="39">
        <f t="shared" si="25"/>
        <v>42399.678813258724</v>
      </c>
      <c r="N58" s="39">
        <f>H58*1000/$B58</f>
        <v>0</v>
      </c>
      <c r="O58" s="654"/>
    </row>
    <row r="59" spans="1:15" ht="12.75">
      <c r="A59" s="261" t="s">
        <v>212</v>
      </c>
      <c r="B59" s="262">
        <f>'Ave weights'!Q46</f>
        <v>1.0670828114433333</v>
      </c>
      <c r="C59" s="661">
        <v>1145</v>
      </c>
      <c r="D59" s="662">
        <v>21768</v>
      </c>
      <c r="E59" s="662">
        <v>51023</v>
      </c>
      <c r="F59" s="662">
        <v>47955</v>
      </c>
      <c r="G59" s="662">
        <v>56321</v>
      </c>
      <c r="H59" s="39">
        <v>124871</v>
      </c>
      <c r="I59" s="236">
        <f t="shared" si="24"/>
        <v>1073018.8769991302</v>
      </c>
      <c r="J59" s="39">
        <f t="shared" si="24"/>
        <v>20399541.410058573</v>
      </c>
      <c r="K59" s="39">
        <f t="shared" si="24"/>
        <v>47815408.000983946</v>
      </c>
      <c r="L59" s="39">
        <f t="shared" si="25"/>
        <v>44940279.69126051</v>
      </c>
      <c r="M59" s="39">
        <f t="shared" si="25"/>
        <v>52780346.0012821</v>
      </c>
      <c r="N59" s="39">
        <f>H59*1000/$B59</f>
        <v>117020908.46267107</v>
      </c>
      <c r="O59" s="654"/>
    </row>
    <row r="60" spans="1:15" ht="12.75">
      <c r="A60" s="261" t="s">
        <v>213</v>
      </c>
      <c r="B60" s="262">
        <f>'Ave weights'!Q47</f>
        <v>0.65448230675</v>
      </c>
      <c r="C60" s="661">
        <v>3002</v>
      </c>
      <c r="D60" s="662">
        <v>4739</v>
      </c>
      <c r="E60" s="662">
        <v>11249</v>
      </c>
      <c r="F60" s="662">
        <v>7889</v>
      </c>
      <c r="G60" s="662">
        <v>12001</v>
      </c>
      <c r="H60" s="39">
        <v>14486</v>
      </c>
      <c r="I60" s="236">
        <f t="shared" si="24"/>
        <v>4586831.407111985</v>
      </c>
      <c r="J60" s="39">
        <f t="shared" si="24"/>
        <v>7240837.454464922</v>
      </c>
      <c r="K60" s="39">
        <f t="shared" si="24"/>
        <v>17187630.41259251</v>
      </c>
      <c r="L60" s="39">
        <f t="shared" si="25"/>
        <v>12053801.789042788</v>
      </c>
      <c r="M60" s="39">
        <f t="shared" si="25"/>
        <v>18336630.152148876</v>
      </c>
      <c r="N60" s="39">
        <f>H60*1000/$B60</f>
        <v>22133524.23831586</v>
      </c>
      <c r="O60" s="654"/>
    </row>
    <row r="61" spans="1:15" ht="12.75">
      <c r="A61" s="261"/>
      <c r="B61" s="262"/>
      <c r="D61" s="662"/>
      <c r="E61" s="662"/>
      <c r="F61" s="662"/>
      <c r="G61" s="662"/>
      <c r="H61" s="39"/>
      <c r="I61" s="236"/>
      <c r="J61" s="39"/>
      <c r="K61" s="39"/>
      <c r="L61" s="39"/>
      <c r="M61" s="39"/>
      <c r="N61" s="39"/>
      <c r="O61" s="654"/>
    </row>
    <row r="62" spans="1:15" ht="12.75">
      <c r="A62" s="261" t="s">
        <v>214</v>
      </c>
      <c r="B62" s="262">
        <f>'Ave weights'!Q48</f>
        <v>12.56355655</v>
      </c>
      <c r="C62" s="661">
        <v>5755</v>
      </c>
      <c r="D62" s="662">
        <v>6585</v>
      </c>
      <c r="E62" s="662">
        <v>7807</v>
      </c>
      <c r="F62" s="662">
        <v>6640</v>
      </c>
      <c r="G62" s="662">
        <v>6171</v>
      </c>
      <c r="H62" s="39">
        <v>5683</v>
      </c>
      <c r="I62" s="236">
        <f aca="true" t="shared" si="26" ref="I62:K63">C62*1000/$B62</f>
        <v>458070.9273760542</v>
      </c>
      <c r="J62" s="39">
        <f t="shared" si="26"/>
        <v>524135.02289684047</v>
      </c>
      <c r="K62" s="39">
        <f t="shared" si="26"/>
        <v>621400.4743744319</v>
      </c>
      <c r="L62" s="39">
        <f aca="true" t="shared" si="27" ref="L62:N63">F62*1000/$B62</f>
        <v>528512.7641662902</v>
      </c>
      <c r="M62" s="39">
        <f t="shared" si="27"/>
        <v>491182.5704322555</v>
      </c>
      <c r="N62" s="39">
        <f t="shared" si="27"/>
        <v>452340.06607786554</v>
      </c>
      <c r="O62" s="654"/>
    </row>
    <row r="63" spans="1:15" ht="12.75">
      <c r="A63" s="261" t="s">
        <v>215</v>
      </c>
      <c r="B63" s="262">
        <f>'Ave weights'!Q49</f>
        <v>2.1305719359974997</v>
      </c>
      <c r="C63" s="661">
        <v>5696</v>
      </c>
      <c r="D63" s="662">
        <v>5789</v>
      </c>
      <c r="E63" s="662">
        <v>5577</v>
      </c>
      <c r="F63" s="662">
        <v>4143</v>
      </c>
      <c r="G63" s="662">
        <v>4766</v>
      </c>
      <c r="H63" s="39">
        <v>5278</v>
      </c>
      <c r="I63" s="236">
        <f t="shared" si="26"/>
        <v>2673460.540694311</v>
      </c>
      <c r="J63" s="39">
        <f t="shared" si="26"/>
        <v>2717110.791797641</v>
      </c>
      <c r="K63" s="39">
        <f t="shared" si="26"/>
        <v>2617606.9935835972</v>
      </c>
      <c r="L63" s="39">
        <f t="shared" si="27"/>
        <v>1944548.2830225648</v>
      </c>
      <c r="M63" s="39">
        <f t="shared" si="27"/>
        <v>2236958.029661005</v>
      </c>
      <c r="N63" s="39">
        <f t="shared" si="27"/>
        <v>2477269.089498696</v>
      </c>
      <c r="O63" s="654"/>
    </row>
    <row r="64" spans="1:15" ht="12.75">
      <c r="A64" s="261"/>
      <c r="B64" s="262"/>
      <c r="C64" s="215"/>
      <c r="D64" s="38"/>
      <c r="E64" s="38"/>
      <c r="F64" s="38"/>
      <c r="G64" s="38"/>
      <c r="H64" s="41"/>
      <c r="I64" s="214"/>
      <c r="J64" s="41"/>
      <c r="K64" s="41"/>
      <c r="L64" s="41"/>
      <c r="M64" s="39"/>
      <c r="N64" s="41"/>
      <c r="O64" s="654"/>
    </row>
    <row r="65" spans="1:15" ht="12.75">
      <c r="A65" s="261" t="s">
        <v>216</v>
      </c>
      <c r="B65" s="262">
        <f>'Ave weights'!Q50</f>
        <v>0.5773905909343334</v>
      </c>
      <c r="C65" s="661">
        <v>500755</v>
      </c>
      <c r="D65" s="662">
        <v>504778</v>
      </c>
      <c r="E65" s="662">
        <v>401699</v>
      </c>
      <c r="F65" s="662">
        <v>413895</v>
      </c>
      <c r="G65" s="662">
        <v>478377</v>
      </c>
      <c r="H65" s="39">
        <v>405333</v>
      </c>
      <c r="I65" s="236">
        <f aca="true" t="shared" si="28" ref="I65:K66">C65*1000/$B65</f>
        <v>867272532.4284871</v>
      </c>
      <c r="J65" s="39">
        <f t="shared" si="28"/>
        <v>874240086.2181842</v>
      </c>
      <c r="K65" s="39">
        <f t="shared" si="28"/>
        <v>695714489.1293963</v>
      </c>
      <c r="L65" s="39">
        <f aca="true" t="shared" si="29" ref="L65:N66">F65*1000/$B65</f>
        <v>716837105.5895371</v>
      </c>
      <c r="M65" s="39">
        <f t="shared" si="29"/>
        <v>828515406.2276809</v>
      </c>
      <c r="N65" s="39">
        <f t="shared" si="29"/>
        <v>702008322.2071391</v>
      </c>
      <c r="O65" s="654"/>
    </row>
    <row r="66" spans="1:15" ht="12.75">
      <c r="A66" s="261" t="s">
        <v>217</v>
      </c>
      <c r="B66" s="262">
        <f>'Ave weights'!Q51</f>
        <v>0.3707029744827821</v>
      </c>
      <c r="C66" s="661">
        <v>1604191</v>
      </c>
      <c r="D66" s="662">
        <v>967025</v>
      </c>
      <c r="E66" s="662">
        <v>1165930</v>
      </c>
      <c r="F66" s="662">
        <v>927518</v>
      </c>
      <c r="G66" s="662">
        <v>1005324</v>
      </c>
      <c r="H66" s="39">
        <v>898875</v>
      </c>
      <c r="I66" s="536">
        <f t="shared" si="28"/>
        <v>4327429533.6805</v>
      </c>
      <c r="J66" s="39">
        <f t="shared" si="28"/>
        <v>2608624873.726</v>
      </c>
      <c r="K66" s="39">
        <f t="shared" si="28"/>
        <v>3145186524.6744967</v>
      </c>
      <c r="L66" s="39">
        <f t="shared" si="29"/>
        <v>2502051679.768974</v>
      </c>
      <c r="M66" s="39">
        <f t="shared" si="29"/>
        <v>2711939394.0732837</v>
      </c>
      <c r="N66" s="39">
        <f t="shared" si="29"/>
        <v>2424784967.679696</v>
      </c>
      <c r="O66" s="654"/>
    </row>
    <row r="67" spans="1:15" ht="12.75">
      <c r="A67" s="261"/>
      <c r="B67" s="262"/>
      <c r="C67" s="665"/>
      <c r="D67" s="666"/>
      <c r="E67" s="666"/>
      <c r="F67" s="666"/>
      <c r="G67" s="666"/>
      <c r="H67" s="41"/>
      <c r="I67" s="214"/>
      <c r="J67" s="41"/>
      <c r="K67" s="41"/>
      <c r="L67" s="41"/>
      <c r="M67" s="39"/>
      <c r="N67" s="41"/>
      <c r="O67" s="654"/>
    </row>
    <row r="68" spans="1:15" ht="12.75">
      <c r="A68" s="261" t="s">
        <v>218</v>
      </c>
      <c r="B68" s="262">
        <f>'Ave weights'!Q52</f>
        <v>2.4772151082217264</v>
      </c>
      <c r="C68" s="661">
        <v>16092</v>
      </c>
      <c r="D68" s="662">
        <v>13678</v>
      </c>
      <c r="E68" s="662">
        <v>13015</v>
      </c>
      <c r="F68" s="662">
        <v>13174</v>
      </c>
      <c r="G68" s="662">
        <v>11846</v>
      </c>
      <c r="H68" s="39">
        <v>13044</v>
      </c>
      <c r="I68" s="236">
        <f aca="true" t="shared" si="30" ref="I68:K71">C68*1000/$B68</f>
        <v>6496004.302004953</v>
      </c>
      <c r="J68" s="39">
        <f t="shared" si="30"/>
        <v>5521522.920881416</v>
      </c>
      <c r="K68" s="39">
        <f t="shared" si="30"/>
        <v>5253883.6683193175</v>
      </c>
      <c r="L68" s="39">
        <f aca="true" t="shared" si="31" ref="L68:M71">F68*1000/$B68</f>
        <v>5318068.647440545</v>
      </c>
      <c r="M68" s="39">
        <f t="shared" si="31"/>
        <v>4781982.784088409</v>
      </c>
      <c r="N68" s="39">
        <f>H68*1000/$B68</f>
        <v>5265590.362624448</v>
      </c>
      <c r="O68" s="654"/>
    </row>
    <row r="69" spans="1:15" ht="12.75">
      <c r="A69" s="261" t="s">
        <v>219</v>
      </c>
      <c r="B69" s="262">
        <f>'Ave weights'!Q53</f>
        <v>1.8398988767243327</v>
      </c>
      <c r="C69" s="667">
        <v>4442</v>
      </c>
      <c r="D69" s="662">
        <v>3623</v>
      </c>
      <c r="E69" s="662">
        <v>3173</v>
      </c>
      <c r="F69" s="662">
        <v>2622</v>
      </c>
      <c r="G69" s="662">
        <v>1735</v>
      </c>
      <c r="H69" s="39">
        <v>1101</v>
      </c>
      <c r="I69" s="236">
        <f t="shared" si="30"/>
        <v>2414263.1185841705</v>
      </c>
      <c r="J69" s="39">
        <f t="shared" si="30"/>
        <v>1969129.9591693943</v>
      </c>
      <c r="K69" s="39">
        <f t="shared" si="30"/>
        <v>1724551.3001502866</v>
      </c>
      <c r="L69" s="39">
        <f t="shared" si="31"/>
        <v>1425078.319884668</v>
      </c>
      <c r="M69" s="39">
        <f t="shared" si="31"/>
        <v>942986.6075514489</v>
      </c>
      <c r="N69" s="39">
        <f>H69*1000/$B69</f>
        <v>598402.4524000837</v>
      </c>
      <c r="O69" s="654"/>
    </row>
    <row r="70" spans="1:15" ht="12.75">
      <c r="A70" s="261" t="s">
        <v>220</v>
      </c>
      <c r="B70" s="262">
        <f>'Ave weights'!Q54</f>
        <v>1.6471572226666666</v>
      </c>
      <c r="C70" s="667">
        <v>80662</v>
      </c>
      <c r="D70" s="662">
        <v>71578</v>
      </c>
      <c r="E70" s="662">
        <v>58704</v>
      </c>
      <c r="F70" s="662">
        <v>63893</v>
      </c>
      <c r="G70" s="662">
        <v>61988</v>
      </c>
      <c r="H70" s="39">
        <v>51130</v>
      </c>
      <c r="I70" s="236">
        <f t="shared" si="30"/>
        <v>48970431.5350129</v>
      </c>
      <c r="J70" s="39">
        <f t="shared" si="30"/>
        <v>43455475.297081076</v>
      </c>
      <c r="K70" s="39">
        <f t="shared" si="30"/>
        <v>35639585.09374175</v>
      </c>
      <c r="L70" s="39">
        <f t="shared" si="31"/>
        <v>38789861.17461232</v>
      </c>
      <c r="M70" s="39">
        <f t="shared" si="31"/>
        <v>37633323.12603679</v>
      </c>
      <c r="N70" s="39">
        <f>H70*1000/$B70</f>
        <v>31041359.80244985</v>
      </c>
      <c r="O70" s="654"/>
    </row>
    <row r="71" spans="1:15" ht="12.75">
      <c r="A71" s="261" t="s">
        <v>658</v>
      </c>
      <c r="B71" s="262">
        <f>SUM(C69:H70)*1000/SUM(I69:N70)</f>
        <v>1.6543076123983878</v>
      </c>
      <c r="C71" s="661">
        <v>35269</v>
      </c>
      <c r="D71" s="662">
        <v>39575</v>
      </c>
      <c r="E71" s="662">
        <v>35316</v>
      </c>
      <c r="F71" s="662">
        <v>35014</v>
      </c>
      <c r="G71" s="662">
        <v>31687</v>
      </c>
      <c r="H71" s="41">
        <f>SUM(H69:H70)</f>
        <v>52231</v>
      </c>
      <c r="I71" s="236">
        <f t="shared" si="30"/>
        <v>21319493.264537174</v>
      </c>
      <c r="J71" s="39">
        <f t="shared" si="30"/>
        <v>23922394.906123184</v>
      </c>
      <c r="K71" s="39">
        <f t="shared" si="30"/>
        <v>21347903.94199991</v>
      </c>
      <c r="L71" s="39">
        <f t="shared" si="31"/>
        <v>21165350.227239348</v>
      </c>
      <c r="M71" s="39">
        <f t="shared" si="31"/>
        <v>19154236.95237714</v>
      </c>
      <c r="N71" s="39">
        <f>H71*1000/$B71</f>
        <v>31572725.416088946</v>
      </c>
      <c r="O71" s="654"/>
    </row>
    <row r="72" spans="1:15" ht="12.75">
      <c r="A72" s="261" t="s">
        <v>716</v>
      </c>
      <c r="B72" s="262">
        <f>'Ave weights'!Q55</f>
        <v>2.438466965</v>
      </c>
      <c r="C72" s="215"/>
      <c r="D72" s="38"/>
      <c r="E72" s="38"/>
      <c r="F72" s="38"/>
      <c r="G72" s="38"/>
      <c r="H72" s="39"/>
      <c r="I72" s="236"/>
      <c r="J72" s="39"/>
      <c r="K72" s="39"/>
      <c r="L72" s="39"/>
      <c r="M72" s="39"/>
      <c r="N72" s="39"/>
      <c r="O72" s="654"/>
    </row>
    <row r="73" spans="1:15" ht="12.75">
      <c r="A73" s="261" t="s">
        <v>717</v>
      </c>
      <c r="B73" s="262">
        <f>'Ave weights'!Q56</f>
        <v>1</v>
      </c>
      <c r="C73" s="215"/>
      <c r="D73" s="38"/>
      <c r="E73" s="38"/>
      <c r="F73" s="38"/>
      <c r="G73" s="38"/>
      <c r="H73" s="39"/>
      <c r="I73" s="236"/>
      <c r="J73" s="39"/>
      <c r="K73" s="39"/>
      <c r="L73" s="39"/>
      <c r="M73" s="39"/>
      <c r="N73" s="39"/>
      <c r="O73" s="654"/>
    </row>
    <row r="74" spans="1:15" ht="12.75">
      <c r="A74" s="261" t="s">
        <v>719</v>
      </c>
      <c r="B74" s="262">
        <f>AVERAGE(B73,B77)</f>
        <v>4</v>
      </c>
      <c r="C74" s="215"/>
      <c r="D74" s="38"/>
      <c r="E74" s="38"/>
      <c r="F74" s="38"/>
      <c r="G74" s="38"/>
      <c r="H74" s="39"/>
      <c r="I74" s="236"/>
      <c r="J74" s="39"/>
      <c r="K74" s="39"/>
      <c r="L74" s="39"/>
      <c r="M74" s="39"/>
      <c r="N74" s="39"/>
      <c r="O74" s="654"/>
    </row>
    <row r="75" spans="1:15" ht="12.75">
      <c r="A75" s="261" t="s">
        <v>698</v>
      </c>
      <c r="B75" s="262">
        <f>AVERAGE(B73,B77)</f>
        <v>4</v>
      </c>
      <c r="C75" s="215"/>
      <c r="D75" s="38"/>
      <c r="E75" s="38"/>
      <c r="F75" s="38"/>
      <c r="G75" s="38"/>
      <c r="H75" s="39"/>
      <c r="I75" s="236"/>
      <c r="J75" s="39"/>
      <c r="K75" s="39"/>
      <c r="L75" s="39"/>
      <c r="M75" s="39"/>
      <c r="N75" s="39"/>
      <c r="O75" s="654"/>
    </row>
    <row r="76" spans="1:15" ht="12.75">
      <c r="A76" s="261" t="s">
        <v>718</v>
      </c>
      <c r="B76" s="262">
        <f>'Ave weights'!Q57</f>
        <v>2.5</v>
      </c>
      <c r="C76" s="215"/>
      <c r="D76" s="38"/>
      <c r="E76" s="38"/>
      <c r="F76" s="38"/>
      <c r="G76" s="38"/>
      <c r="H76" s="39"/>
      <c r="I76" s="236"/>
      <c r="J76" s="39"/>
      <c r="K76" s="39"/>
      <c r="L76" s="39"/>
      <c r="M76" s="39"/>
      <c r="N76" s="39"/>
      <c r="O76" s="654"/>
    </row>
    <row r="77" spans="1:15" ht="12.75">
      <c r="A77" s="261" t="s">
        <v>729</v>
      </c>
      <c r="B77" s="262">
        <f>'Ave weights'!Q58</f>
        <v>7</v>
      </c>
      <c r="C77" s="215"/>
      <c r="D77" s="38"/>
      <c r="E77" s="38"/>
      <c r="F77" s="38"/>
      <c r="G77" s="38"/>
      <c r="H77" s="39"/>
      <c r="I77" s="236"/>
      <c r="J77" s="39"/>
      <c r="K77" s="39"/>
      <c r="L77" s="39"/>
      <c r="M77" s="39"/>
      <c r="N77" s="39"/>
      <c r="O77" s="654"/>
    </row>
    <row r="78" spans="1:15" ht="12.75">
      <c r="A78" s="261" t="s">
        <v>697</v>
      </c>
      <c r="B78" s="262">
        <f>AVERAGE(B76:B77)</f>
        <v>4.75</v>
      </c>
      <c r="C78" s="215"/>
      <c r="D78" s="38"/>
      <c r="E78" s="38"/>
      <c r="F78" s="38"/>
      <c r="G78" s="38"/>
      <c r="H78" s="39"/>
      <c r="I78" s="236"/>
      <c r="J78" s="39"/>
      <c r="K78" s="39"/>
      <c r="L78" s="39"/>
      <c r="M78" s="39"/>
      <c r="N78" s="39"/>
      <c r="O78" s="654"/>
    </row>
    <row r="79" spans="1:15" ht="12.75">
      <c r="A79" s="261" t="s">
        <v>221</v>
      </c>
      <c r="B79" s="262">
        <f>'Ave weights'!Q59</f>
        <v>7.3854857769999995</v>
      </c>
      <c r="C79" s="661">
        <v>15896</v>
      </c>
      <c r="D79" s="662">
        <v>11356</v>
      </c>
      <c r="E79" s="662">
        <v>16443</v>
      </c>
      <c r="F79" s="662">
        <v>21968</v>
      </c>
      <c r="G79" s="662">
        <v>18466</v>
      </c>
      <c r="H79" s="39">
        <v>13357</v>
      </c>
      <c r="I79" s="236">
        <f aca="true" t="shared" si="32" ref="I79:K80">C79*1000/$B79</f>
        <v>2152329.647631789</v>
      </c>
      <c r="J79" s="39">
        <f t="shared" si="32"/>
        <v>1537610.4352356945</v>
      </c>
      <c r="K79" s="39">
        <f t="shared" si="32"/>
        <v>2226393.834675988</v>
      </c>
      <c r="L79" s="39">
        <f aca="true" t="shared" si="33" ref="L79:N80">F79*1000/$B79</f>
        <v>2974482.744034672</v>
      </c>
      <c r="M79" s="39">
        <f t="shared" si="33"/>
        <v>2500309.4661027063</v>
      </c>
      <c r="N79" s="39">
        <f t="shared" si="33"/>
        <v>1808547.2510957352</v>
      </c>
      <c r="O79" s="654"/>
    </row>
    <row r="80" spans="1:15" ht="12.75">
      <c r="A80" s="261" t="s">
        <v>222</v>
      </c>
      <c r="B80" s="262">
        <f>'Ave weights'!Q60</f>
        <v>1.3805492525566665</v>
      </c>
      <c r="C80" s="661">
        <v>2810796</v>
      </c>
      <c r="D80" s="662">
        <v>1947580</v>
      </c>
      <c r="E80" s="662">
        <v>1866203</v>
      </c>
      <c r="F80" s="662">
        <v>2276144</v>
      </c>
      <c r="G80" s="662">
        <v>3066603</v>
      </c>
      <c r="H80" s="39">
        <v>3400812</v>
      </c>
      <c r="I80" s="536">
        <f t="shared" si="32"/>
        <v>2035998349.7833426</v>
      </c>
      <c r="J80" s="39">
        <f t="shared" si="32"/>
        <v>1410728372.3440058</v>
      </c>
      <c r="K80" s="39">
        <f t="shared" si="32"/>
        <v>1351782992.561795</v>
      </c>
      <c r="L80" s="39">
        <f t="shared" si="33"/>
        <v>1648723503.1888676</v>
      </c>
      <c r="M80" s="39">
        <f t="shared" si="33"/>
        <v>2221291992.5318832</v>
      </c>
      <c r="N80" s="39">
        <f t="shared" si="33"/>
        <v>2463376075.6466813</v>
      </c>
      <c r="O80" s="654"/>
    </row>
    <row r="81" spans="1:15" ht="12.75">
      <c r="A81" s="261"/>
      <c r="B81" s="262"/>
      <c r="C81" s="215"/>
      <c r="D81" s="38"/>
      <c r="E81" s="38"/>
      <c r="F81" s="38"/>
      <c r="G81" s="38"/>
      <c r="H81" s="41"/>
      <c r="I81" s="214"/>
      <c r="J81" s="41"/>
      <c r="K81" s="41"/>
      <c r="L81" s="41"/>
      <c r="M81" s="39"/>
      <c r="N81" s="41"/>
      <c r="O81" s="654"/>
    </row>
    <row r="82" spans="1:15" ht="12.75">
      <c r="A82" s="261" t="s">
        <v>223</v>
      </c>
      <c r="B82" s="262">
        <f>'Ave weights'!Q61</f>
        <v>3.6524670579780003</v>
      </c>
      <c r="C82" s="215"/>
      <c r="D82" s="38"/>
      <c r="E82" s="38"/>
      <c r="F82" s="38"/>
      <c r="G82" s="38"/>
      <c r="H82" s="39">
        <v>0</v>
      </c>
      <c r="I82" s="236"/>
      <c r="J82" s="39"/>
      <c r="K82" s="39"/>
      <c r="L82" s="39"/>
      <c r="M82" s="39"/>
      <c r="N82" s="39">
        <f aca="true" t="shared" si="34" ref="N82:N88">H82*1000/$B82</f>
        <v>0</v>
      </c>
      <c r="O82" s="654"/>
    </row>
    <row r="83" spans="1:15" ht="12.75">
      <c r="A83" s="261" t="s">
        <v>224</v>
      </c>
      <c r="B83" s="262">
        <f>'Ave weights'!Q62</f>
        <v>2.97862262</v>
      </c>
      <c r="C83" s="215"/>
      <c r="D83" s="38"/>
      <c r="E83" s="38"/>
      <c r="F83" s="38"/>
      <c r="G83" s="38"/>
      <c r="H83" s="39">
        <v>0</v>
      </c>
      <c r="I83" s="236"/>
      <c r="J83" s="39"/>
      <c r="K83" s="39"/>
      <c r="L83" s="39"/>
      <c r="M83" s="39"/>
      <c r="N83" s="39">
        <f t="shared" si="34"/>
        <v>0</v>
      </c>
      <c r="O83" s="654"/>
    </row>
    <row r="84" spans="1:15" ht="12.75">
      <c r="A84" s="261" t="s">
        <v>225</v>
      </c>
      <c r="B84" s="262">
        <f>'Ave weights'!Q63</f>
        <v>3.9609102990159997</v>
      </c>
      <c r="C84" s="215"/>
      <c r="D84" s="38"/>
      <c r="E84" s="38"/>
      <c r="F84" s="38"/>
      <c r="G84" s="38"/>
      <c r="H84" s="39">
        <v>0</v>
      </c>
      <c r="I84" s="236"/>
      <c r="J84" s="39"/>
      <c r="K84" s="39"/>
      <c r="L84" s="39"/>
      <c r="M84" s="39"/>
      <c r="N84" s="39">
        <f t="shared" si="34"/>
        <v>0</v>
      </c>
      <c r="O84" s="654"/>
    </row>
    <row r="85" spans="1:15" ht="12.75">
      <c r="A85" s="261" t="s">
        <v>226</v>
      </c>
      <c r="B85" s="262">
        <f>'Ave weights'!Q64</f>
        <v>3.81514305467</v>
      </c>
      <c r="C85" s="215"/>
      <c r="D85" s="38"/>
      <c r="E85" s="38"/>
      <c r="F85" s="38"/>
      <c r="G85" s="38"/>
      <c r="H85" s="39">
        <v>0</v>
      </c>
      <c r="I85" s="236"/>
      <c r="J85" s="39"/>
      <c r="K85" s="39"/>
      <c r="L85" s="39"/>
      <c r="M85" s="39"/>
      <c r="N85" s="39">
        <f t="shared" si="34"/>
        <v>0</v>
      </c>
      <c r="O85" s="654"/>
    </row>
    <row r="86" spans="1:15" ht="12.75">
      <c r="A86" s="261" t="s">
        <v>227</v>
      </c>
      <c r="B86" s="262">
        <f>'Ave weights'!Q65</f>
        <v>1.281</v>
      </c>
      <c r="C86" s="665"/>
      <c r="D86" s="666"/>
      <c r="E86" s="666"/>
      <c r="F86" s="666"/>
      <c r="G86" s="666"/>
      <c r="H86" s="39">
        <v>0</v>
      </c>
      <c r="I86" s="236"/>
      <c r="J86" s="39"/>
      <c r="K86" s="39"/>
      <c r="L86" s="39"/>
      <c r="M86" s="39"/>
      <c r="N86" s="39">
        <f t="shared" si="34"/>
        <v>0</v>
      </c>
      <c r="O86" s="654"/>
    </row>
    <row r="87" spans="1:15" ht="12.75">
      <c r="A87" s="261" t="s">
        <v>228</v>
      </c>
      <c r="B87" s="262">
        <f>'Ave weights'!Q66</f>
        <v>1.217</v>
      </c>
      <c r="C87" s="665"/>
      <c r="D87" s="666"/>
      <c r="E87" s="666"/>
      <c r="F87" s="666"/>
      <c r="G87" s="666"/>
      <c r="H87" s="39">
        <v>29910</v>
      </c>
      <c r="I87" s="236"/>
      <c r="J87" s="39"/>
      <c r="K87" s="39"/>
      <c r="L87" s="39"/>
      <c r="M87" s="39"/>
      <c r="N87" s="39">
        <f t="shared" si="34"/>
        <v>24576828.26622843</v>
      </c>
      <c r="O87" s="654"/>
    </row>
    <row r="88" spans="1:15" ht="12.75">
      <c r="A88" s="261" t="s">
        <v>229</v>
      </c>
      <c r="B88" s="262">
        <f>'Ave weights'!Q67</f>
        <v>16.90924524</v>
      </c>
      <c r="C88" s="661">
        <v>41186</v>
      </c>
      <c r="D88" s="662">
        <v>40302</v>
      </c>
      <c r="E88" s="662">
        <v>42808</v>
      </c>
      <c r="F88" s="662">
        <v>43288</v>
      </c>
      <c r="G88" s="662">
        <v>43879</v>
      </c>
      <c r="H88" s="39">
        <v>47226</v>
      </c>
      <c r="I88" s="236">
        <f>C88*1000/$B88</f>
        <v>2435708.9518443816</v>
      </c>
      <c r="J88" s="39">
        <f>D88*1000/$B88</f>
        <v>2383429.8591082473</v>
      </c>
      <c r="K88" s="39">
        <f>E88*1000/$B88</f>
        <v>2531632.8075208636</v>
      </c>
      <c r="L88" s="39">
        <f>F88*1000/$B88</f>
        <v>2560019.6452056426</v>
      </c>
      <c r="M88" s="39">
        <f>G88*1000/$B88</f>
        <v>2594970.9391050264</v>
      </c>
      <c r="N88" s="39">
        <f t="shared" si="34"/>
        <v>2792909.9927111827</v>
      </c>
      <c r="O88" s="654"/>
    </row>
    <row r="89" spans="1:15" ht="12.75">
      <c r="A89" s="261"/>
      <c r="B89" s="262"/>
      <c r="C89" s="215"/>
      <c r="D89" s="38"/>
      <c r="E89" s="38"/>
      <c r="F89" s="38"/>
      <c r="G89" s="38"/>
      <c r="H89" s="39"/>
      <c r="I89" s="236"/>
      <c r="J89" s="39"/>
      <c r="K89" s="39"/>
      <c r="L89" s="39"/>
      <c r="M89" s="39"/>
      <c r="N89" s="39"/>
      <c r="O89" s="654"/>
    </row>
    <row r="90" spans="1:15" ht="12.75">
      <c r="A90" s="261" t="s">
        <v>230</v>
      </c>
      <c r="B90" s="262">
        <f>'Ave weights'!Q69</f>
        <v>20.236635005855</v>
      </c>
      <c r="C90" s="661">
        <v>14757</v>
      </c>
      <c r="D90" s="662">
        <v>13333</v>
      </c>
      <c r="E90" s="662">
        <v>9900</v>
      </c>
      <c r="F90" s="662">
        <v>9804</v>
      </c>
      <c r="G90" s="662">
        <v>14614</v>
      </c>
      <c r="H90" s="39">
        <v>16881</v>
      </c>
      <c r="I90" s="236">
        <f aca="true" t="shared" si="35" ref="I90:K94">C90*1000/$B90</f>
        <v>729222.0270677613</v>
      </c>
      <c r="J90" s="39">
        <f t="shared" si="35"/>
        <v>658854.596929895</v>
      </c>
      <c r="K90" s="39">
        <f t="shared" si="35"/>
        <v>489211.76851465995</v>
      </c>
      <c r="L90" s="39">
        <f aca="true" t="shared" si="36" ref="L90:M94">F90*1000/$B90</f>
        <v>484467.8968199723</v>
      </c>
      <c r="M90" s="39">
        <f t="shared" si="36"/>
        <v>722155.6348558828</v>
      </c>
      <c r="N90" s="39">
        <f>H90*1000/$B90</f>
        <v>834180.1883127247</v>
      </c>
      <c r="O90" s="654"/>
    </row>
    <row r="91" spans="1:15" ht="12.75">
      <c r="A91" s="261" t="s">
        <v>231</v>
      </c>
      <c r="B91" s="262">
        <f>'Ave weights'!Q70</f>
        <v>13.76333286342</v>
      </c>
      <c r="C91" s="661">
        <v>102516</v>
      </c>
      <c r="D91" s="662">
        <v>115600</v>
      </c>
      <c r="E91" s="662">
        <v>112388</v>
      </c>
      <c r="F91" s="662">
        <v>125798</v>
      </c>
      <c r="G91" s="662">
        <v>109164</v>
      </c>
      <c r="H91" s="39">
        <v>150836</v>
      </c>
      <c r="I91" s="236">
        <f t="shared" si="35"/>
        <v>7448486.570608608</v>
      </c>
      <c r="J91" s="39">
        <f t="shared" si="35"/>
        <v>8399128.404954886</v>
      </c>
      <c r="K91" s="39">
        <f t="shared" si="35"/>
        <v>8165754.698754929</v>
      </c>
      <c r="L91" s="39">
        <f t="shared" si="36"/>
        <v>9140082.65645774</v>
      </c>
      <c r="M91" s="39">
        <f t="shared" si="36"/>
        <v>7931509.110713626</v>
      </c>
      <c r="N91" s="39">
        <f>H91*1000/$B91</f>
        <v>10959264.118423661</v>
      </c>
      <c r="O91" s="654"/>
    </row>
    <row r="92" spans="1:15" ht="12.75">
      <c r="A92" s="261" t="s">
        <v>232</v>
      </c>
      <c r="B92" s="262">
        <f>'Ave weights'!Q71</f>
        <v>4.00910623447</v>
      </c>
      <c r="C92" s="667">
        <v>388390</v>
      </c>
      <c r="D92" s="662">
        <v>372557</v>
      </c>
      <c r="E92" s="662">
        <v>293836</v>
      </c>
      <c r="F92" s="662">
        <v>260525</v>
      </c>
      <c r="G92" s="662">
        <v>457463</v>
      </c>
      <c r="H92" s="39">
        <v>221761</v>
      </c>
      <c r="I92" s="236">
        <f t="shared" si="35"/>
        <v>96876953.93568058</v>
      </c>
      <c r="J92" s="39">
        <f t="shared" si="35"/>
        <v>92927694.65592664</v>
      </c>
      <c r="K92" s="39">
        <f t="shared" si="35"/>
        <v>73292146.13312556</v>
      </c>
      <c r="L92" s="39">
        <f t="shared" si="36"/>
        <v>64983311.68179712</v>
      </c>
      <c r="M92" s="39">
        <f t="shared" si="36"/>
        <v>114105981.04554248</v>
      </c>
      <c r="N92" s="39">
        <f>H92*1000/$B92</f>
        <v>55314323.69971024</v>
      </c>
      <c r="O92" s="654"/>
    </row>
    <row r="93" spans="1:15" ht="12.75">
      <c r="A93" s="261" t="s">
        <v>233</v>
      </c>
      <c r="B93" s="262">
        <f>'Ave weights'!Q72</f>
        <v>6.737298692666666</v>
      </c>
      <c r="C93" s="661">
        <v>249536</v>
      </c>
      <c r="D93" s="662">
        <v>252989</v>
      </c>
      <c r="E93" s="662">
        <v>256143</v>
      </c>
      <c r="F93" s="662">
        <v>224805</v>
      </c>
      <c r="G93" s="662">
        <v>276585</v>
      </c>
      <c r="H93" s="39">
        <v>238600</v>
      </c>
      <c r="I93" s="236">
        <f t="shared" si="35"/>
        <v>37037989.76162537</v>
      </c>
      <c r="J93" s="39">
        <f t="shared" si="35"/>
        <v>37550509.71324315</v>
      </c>
      <c r="K93" s="39">
        <f t="shared" si="35"/>
        <v>38018649.860188544</v>
      </c>
      <c r="L93" s="39">
        <f t="shared" si="36"/>
        <v>33367230.733690497</v>
      </c>
      <c r="M93" s="39">
        <f t="shared" si="36"/>
        <v>41052803.596351445</v>
      </c>
      <c r="N93" s="39">
        <f>H93*1000/$B93</f>
        <v>35414787.273675196</v>
      </c>
      <c r="O93" s="654"/>
    </row>
    <row r="94" spans="1:15" ht="12.75">
      <c r="A94" s="261" t="s">
        <v>234</v>
      </c>
      <c r="B94" s="262">
        <f>'Ave weights'!Q73</f>
        <v>9.981304963333333</v>
      </c>
      <c r="C94" s="661">
        <v>24889</v>
      </c>
      <c r="D94" s="662">
        <v>33261</v>
      </c>
      <c r="E94" s="662">
        <v>32935</v>
      </c>
      <c r="F94" s="662">
        <v>37410</v>
      </c>
      <c r="G94" s="662">
        <v>27196</v>
      </c>
      <c r="H94" s="39">
        <v>34966</v>
      </c>
      <c r="I94" s="236">
        <f t="shared" si="35"/>
        <v>2493561.722783804</v>
      </c>
      <c r="J94" s="39">
        <f t="shared" si="35"/>
        <v>3332329.802784849</v>
      </c>
      <c r="K94" s="39">
        <f t="shared" si="35"/>
        <v>3299668.7428134754</v>
      </c>
      <c r="L94" s="39">
        <f t="shared" si="36"/>
        <v>3748006.9126659213</v>
      </c>
      <c r="M94" s="39">
        <f t="shared" si="36"/>
        <v>2724693.825096562</v>
      </c>
      <c r="N94" s="39">
        <f>H94*1000/$B94</f>
        <v>3503149.150181144</v>
      </c>
      <c r="O94" s="654"/>
    </row>
    <row r="95" spans="1:15" ht="12.75">
      <c r="A95" s="261"/>
      <c r="B95" s="262"/>
      <c r="C95" s="215"/>
      <c r="D95" s="38"/>
      <c r="E95" s="38"/>
      <c r="F95" s="38"/>
      <c r="G95" s="38"/>
      <c r="H95" s="41"/>
      <c r="I95" s="214"/>
      <c r="J95" s="41"/>
      <c r="K95" s="41"/>
      <c r="L95" s="41"/>
      <c r="M95" s="39"/>
      <c r="N95" s="41"/>
      <c r="O95" s="654"/>
    </row>
    <row r="96" spans="1:15" ht="12.75">
      <c r="A96" s="261"/>
      <c r="B96" s="262"/>
      <c r="C96" s="215"/>
      <c r="D96" s="38"/>
      <c r="E96" s="38"/>
      <c r="F96" s="38"/>
      <c r="G96" s="38"/>
      <c r="H96" s="39"/>
      <c r="I96" s="236"/>
      <c r="J96" s="39"/>
      <c r="K96" s="39"/>
      <c r="L96" s="39"/>
      <c r="M96" s="39"/>
      <c r="N96" s="39"/>
      <c r="O96" s="654"/>
    </row>
    <row r="97" spans="1:15" ht="12.75">
      <c r="A97" s="261" t="s">
        <v>235</v>
      </c>
      <c r="B97" s="262">
        <f>'Ave weights'!Q74</f>
        <v>0.23152450638995292</v>
      </c>
      <c r="C97" s="661">
        <v>102233</v>
      </c>
      <c r="D97" s="662">
        <v>146306</v>
      </c>
      <c r="E97" s="662">
        <v>146364</v>
      </c>
      <c r="F97" s="662">
        <v>190911</v>
      </c>
      <c r="G97" s="662">
        <v>278850</v>
      </c>
      <c r="H97" s="39">
        <v>190923</v>
      </c>
      <c r="I97" s="536">
        <f aca="true" t="shared" si="37" ref="I97:K98">C97*1000/$B97</f>
        <v>441564487.46643966</v>
      </c>
      <c r="J97" s="39">
        <f t="shared" si="37"/>
        <v>631924465.7132719</v>
      </c>
      <c r="K97" s="39">
        <f t="shared" si="37"/>
        <v>632174979.1509393</v>
      </c>
      <c r="L97" s="39">
        <f aca="true" t="shared" si="38" ref="L97:N98">F97*1000/$B97</f>
        <v>824582256.8711225</v>
      </c>
      <c r="M97" s="39">
        <f t="shared" si="38"/>
        <v>1204408139.5441463</v>
      </c>
      <c r="N97" s="39">
        <f t="shared" si="38"/>
        <v>824634087.2375364</v>
      </c>
      <c r="O97" s="654"/>
    </row>
    <row r="98" spans="1:15" ht="12.75">
      <c r="A98" s="261" t="s">
        <v>236</v>
      </c>
      <c r="B98" s="262">
        <f>'Ave weights'!Q75</f>
        <v>0.20003265141328627</v>
      </c>
      <c r="C98" s="661">
        <v>2444</v>
      </c>
      <c r="D98" s="662">
        <v>2017</v>
      </c>
      <c r="E98" s="662">
        <v>1400</v>
      </c>
      <c r="F98" s="662">
        <v>2167</v>
      </c>
      <c r="G98" s="662">
        <v>1378</v>
      </c>
      <c r="H98" s="39">
        <v>2251</v>
      </c>
      <c r="I98" s="236">
        <f t="shared" si="37"/>
        <v>12218005.324293112</v>
      </c>
      <c r="J98" s="39">
        <f t="shared" si="37"/>
        <v>10083353.821235355</v>
      </c>
      <c r="K98" s="39">
        <f t="shared" si="37"/>
        <v>6998857.387074615</v>
      </c>
      <c r="L98" s="39">
        <f t="shared" si="38"/>
        <v>10833231.39842192</v>
      </c>
      <c r="M98" s="39">
        <f t="shared" si="38"/>
        <v>6888875.342420585</v>
      </c>
      <c r="N98" s="39">
        <f t="shared" si="38"/>
        <v>11253162.8416464</v>
      </c>
      <c r="O98" s="654"/>
    </row>
    <row r="99" spans="1:15" ht="12.75">
      <c r="A99" s="261"/>
      <c r="B99" s="262"/>
      <c r="C99" s="661"/>
      <c r="D99" s="662"/>
      <c r="E99" s="662"/>
      <c r="F99" s="662"/>
      <c r="G99" s="662"/>
      <c r="H99" s="41"/>
      <c r="I99" s="214"/>
      <c r="J99" s="41"/>
      <c r="K99" s="41"/>
      <c r="L99" s="41"/>
      <c r="M99" s="39"/>
      <c r="N99" s="41"/>
      <c r="O99" s="654"/>
    </row>
    <row r="100" spans="1:15" ht="12.75">
      <c r="A100" s="261" t="s">
        <v>696</v>
      </c>
      <c r="B100" s="262">
        <f>'Ave weights'!Q76</f>
        <v>0.875</v>
      </c>
      <c r="C100" s="661"/>
      <c r="D100" s="662"/>
      <c r="E100" s="662"/>
      <c r="F100" s="662"/>
      <c r="G100" s="662"/>
      <c r="H100" s="39"/>
      <c r="I100" s="236"/>
      <c r="J100" s="39"/>
      <c r="K100" s="39"/>
      <c r="L100" s="39"/>
      <c r="M100" s="39"/>
      <c r="N100" s="39"/>
      <c r="O100" s="654"/>
    </row>
    <row r="101" spans="1:15" ht="12.75">
      <c r="A101" s="261"/>
      <c r="B101" s="262">
        <f>'Ave weights'!Q77</f>
        <v>9.35</v>
      </c>
      <c r="C101" s="661"/>
      <c r="D101" s="662"/>
      <c r="E101" s="662"/>
      <c r="F101" s="662"/>
      <c r="G101" s="662"/>
      <c r="H101" s="39"/>
      <c r="I101" s="236"/>
      <c r="J101" s="39"/>
      <c r="K101" s="39"/>
      <c r="L101" s="39"/>
      <c r="M101" s="39"/>
      <c r="N101" s="39"/>
      <c r="O101" s="654"/>
    </row>
    <row r="102" spans="1:15" ht="12.75">
      <c r="A102" s="261" t="s">
        <v>237</v>
      </c>
      <c r="B102" s="262">
        <f>'Ave weights'!Q78</f>
        <v>1.6591556550000002</v>
      </c>
      <c r="C102" s="661">
        <v>15187</v>
      </c>
      <c r="D102" s="662">
        <v>10522</v>
      </c>
      <c r="E102" s="662">
        <v>8772</v>
      </c>
      <c r="F102" s="662">
        <v>5831</v>
      </c>
      <c r="G102" s="662">
        <v>9844</v>
      </c>
      <c r="H102" s="39">
        <v>9494</v>
      </c>
      <c r="I102" s="236">
        <f aca="true" t="shared" si="39" ref="I102:J104">C102*1000/$B102</f>
        <v>9153451.006379506</v>
      </c>
      <c r="J102" s="39">
        <f t="shared" si="39"/>
        <v>6341779.909733664</v>
      </c>
      <c r="K102" s="39">
        <f aca="true" t="shared" si="40" ref="K102:K138">E102*1000/$B102</f>
        <v>5287026.550863306</v>
      </c>
      <c r="L102" s="39">
        <f aca="true" t="shared" si="41" ref="L102:L138">F102*1000/$B102</f>
        <v>3514438.1917560347</v>
      </c>
      <c r="M102" s="39">
        <f aca="true" t="shared" si="42" ref="M102:M138">G102*1000/$B102</f>
        <v>5933138.322697034</v>
      </c>
      <c r="N102" s="39">
        <f aca="true" t="shared" si="43" ref="N102:N138">H102*1000/$B102</f>
        <v>5722187.650922962</v>
      </c>
      <c r="O102" s="654"/>
    </row>
    <row r="103" spans="1:15" ht="12.75">
      <c r="A103" s="261" t="s">
        <v>238</v>
      </c>
      <c r="B103" s="262">
        <f>'Ave weights'!Q79</f>
        <v>1.2155</v>
      </c>
      <c r="C103" s="661">
        <v>2611</v>
      </c>
      <c r="D103" s="662">
        <v>2370</v>
      </c>
      <c r="E103" s="662">
        <v>1981</v>
      </c>
      <c r="F103" s="662">
        <v>2284</v>
      </c>
      <c r="G103" s="662">
        <v>2633</v>
      </c>
      <c r="H103" s="39">
        <v>3493</v>
      </c>
      <c r="I103" s="236">
        <f t="shared" si="39"/>
        <v>2148087.2069107364</v>
      </c>
      <c r="J103" s="39">
        <f t="shared" si="39"/>
        <v>1949814.8909913616</v>
      </c>
      <c r="K103" s="39">
        <f t="shared" si="40"/>
        <v>1629781.9827231592</v>
      </c>
      <c r="L103" s="39">
        <f t="shared" si="41"/>
        <v>1879062.1143562319</v>
      </c>
      <c r="M103" s="39">
        <f t="shared" si="42"/>
        <v>2166186.7544220486</v>
      </c>
      <c r="N103" s="39">
        <f t="shared" si="43"/>
        <v>2873714.520773344</v>
      </c>
      <c r="O103" s="654"/>
    </row>
    <row r="104" spans="1:15" ht="12.75">
      <c r="A104" s="261" t="s">
        <v>239</v>
      </c>
      <c r="B104" s="262">
        <f>'Ave weights'!Q80</f>
        <v>37.5</v>
      </c>
      <c r="C104" s="663">
        <v>565</v>
      </c>
      <c r="D104" s="664">
        <v>568</v>
      </c>
      <c r="E104" s="664">
        <v>411</v>
      </c>
      <c r="F104" s="664">
        <v>669</v>
      </c>
      <c r="G104" s="664">
        <v>488</v>
      </c>
      <c r="H104" s="39">
        <v>403</v>
      </c>
      <c r="I104" s="236">
        <f t="shared" si="39"/>
        <v>15066.666666666666</v>
      </c>
      <c r="J104" s="39">
        <f t="shared" si="39"/>
        <v>15146.666666666666</v>
      </c>
      <c r="K104" s="39">
        <f t="shared" si="40"/>
        <v>10960</v>
      </c>
      <c r="L104" s="39">
        <f t="shared" si="41"/>
        <v>17840</v>
      </c>
      <c r="M104" s="39">
        <f t="shared" si="42"/>
        <v>13013.333333333334</v>
      </c>
      <c r="N104" s="39">
        <f t="shared" si="43"/>
        <v>10746.666666666666</v>
      </c>
      <c r="O104" s="654"/>
    </row>
    <row r="105" spans="1:15" ht="12.75">
      <c r="A105" s="261"/>
      <c r="B105" s="262"/>
      <c r="C105" s="215"/>
      <c r="D105" s="38"/>
      <c r="E105" s="38"/>
      <c r="F105" s="38"/>
      <c r="G105" s="38"/>
      <c r="H105" s="41"/>
      <c r="I105" s="214"/>
      <c r="J105" s="41"/>
      <c r="K105" s="41"/>
      <c r="L105" s="41"/>
      <c r="M105" s="39"/>
      <c r="N105" s="41"/>
      <c r="O105" s="654"/>
    </row>
    <row r="106" spans="1:15" ht="12.75">
      <c r="A106" s="261" t="s">
        <v>240</v>
      </c>
      <c r="B106" s="262">
        <f>'Ave weights'!Q81</f>
        <v>3</v>
      </c>
      <c r="C106" s="663">
        <v>138</v>
      </c>
      <c r="D106" s="664">
        <v>270</v>
      </c>
      <c r="E106" s="664">
        <v>379</v>
      </c>
      <c r="F106" s="664">
        <v>459</v>
      </c>
      <c r="G106" s="664">
        <v>908</v>
      </c>
      <c r="H106" s="39">
        <v>1062</v>
      </c>
      <c r="I106" s="236">
        <f aca="true" t="shared" si="44" ref="I106:J110">C106*1000/$B106</f>
        <v>46000</v>
      </c>
      <c r="J106" s="39">
        <f t="shared" si="44"/>
        <v>90000</v>
      </c>
      <c r="K106" s="39">
        <f t="shared" si="40"/>
        <v>126333.33333333333</v>
      </c>
      <c r="L106" s="39">
        <f t="shared" si="41"/>
        <v>153000</v>
      </c>
      <c r="M106" s="39">
        <f t="shared" si="42"/>
        <v>302666.6666666667</v>
      </c>
      <c r="N106" s="39">
        <f t="shared" si="43"/>
        <v>354000</v>
      </c>
      <c r="O106" s="654"/>
    </row>
    <row r="107" spans="1:15" ht="12.75">
      <c r="A107" s="261" t="s">
        <v>241</v>
      </c>
      <c r="B107" s="262">
        <f>'Ave weights'!Q82</f>
        <v>1.7095</v>
      </c>
      <c r="C107" s="663">
        <v>212</v>
      </c>
      <c r="D107" s="664">
        <v>329</v>
      </c>
      <c r="E107" s="664">
        <v>477</v>
      </c>
      <c r="F107" s="664">
        <v>413</v>
      </c>
      <c r="G107" s="664">
        <v>523</v>
      </c>
      <c r="H107" s="39">
        <v>438</v>
      </c>
      <c r="I107" s="236">
        <f t="shared" si="44"/>
        <v>124012.86926001754</v>
      </c>
      <c r="J107" s="39">
        <f t="shared" si="44"/>
        <v>192453.9338988008</v>
      </c>
      <c r="K107" s="39">
        <f t="shared" si="40"/>
        <v>279028.9558350395</v>
      </c>
      <c r="L107" s="39">
        <f t="shared" si="41"/>
        <v>241591.1085112606</v>
      </c>
      <c r="M107" s="39">
        <f t="shared" si="42"/>
        <v>305937.40859900555</v>
      </c>
      <c r="N107" s="39">
        <f t="shared" si="43"/>
        <v>256215.2676221117</v>
      </c>
      <c r="O107" s="654"/>
    </row>
    <row r="108" spans="1:15" ht="12.75">
      <c r="A108" s="261" t="s">
        <v>546</v>
      </c>
      <c r="B108" s="262">
        <f>'Ave weights'!Q83</f>
        <v>0.7235</v>
      </c>
      <c r="C108" s="663">
        <v>65</v>
      </c>
      <c r="D108" s="664">
        <v>73</v>
      </c>
      <c r="E108" s="664">
        <v>87</v>
      </c>
      <c r="F108" s="664">
        <v>83</v>
      </c>
      <c r="G108" s="664">
        <v>91</v>
      </c>
      <c r="H108" s="39">
        <v>52</v>
      </c>
      <c r="I108" s="236">
        <f t="shared" si="44"/>
        <v>89841.05044920524</v>
      </c>
      <c r="J108" s="39">
        <f t="shared" si="44"/>
        <v>100898.41050449204</v>
      </c>
      <c r="K108" s="39">
        <f t="shared" si="40"/>
        <v>120248.79060124395</v>
      </c>
      <c r="L108" s="39">
        <f t="shared" si="41"/>
        <v>114720.11057360054</v>
      </c>
      <c r="M108" s="39">
        <f t="shared" si="42"/>
        <v>125777.47062888734</v>
      </c>
      <c r="N108" s="39">
        <f t="shared" si="43"/>
        <v>71872.8403593642</v>
      </c>
      <c r="O108" s="654"/>
    </row>
    <row r="109" spans="1:15" ht="12.75">
      <c r="A109" s="261" t="s">
        <v>122</v>
      </c>
      <c r="B109" s="262">
        <f>'Ave weights'!Q84</f>
        <v>4.061301</v>
      </c>
      <c r="C109" s="663">
        <v>770</v>
      </c>
      <c r="D109" s="664">
        <v>659</v>
      </c>
      <c r="E109" s="664">
        <v>585</v>
      </c>
      <c r="F109" s="664">
        <v>579</v>
      </c>
      <c r="G109" s="662">
        <v>1013</v>
      </c>
      <c r="H109" s="39">
        <v>968</v>
      </c>
      <c r="I109" s="236">
        <f t="shared" si="44"/>
        <v>189594.41814334862</v>
      </c>
      <c r="J109" s="39">
        <f t="shared" si="44"/>
        <v>162263.27474865812</v>
      </c>
      <c r="K109" s="39">
        <f t="shared" si="40"/>
        <v>144042.5124855311</v>
      </c>
      <c r="L109" s="39">
        <f t="shared" si="41"/>
        <v>142565.1533831154</v>
      </c>
      <c r="M109" s="39">
        <f t="shared" si="42"/>
        <v>249427.46179118464</v>
      </c>
      <c r="N109" s="39">
        <f t="shared" si="43"/>
        <v>238347.26852306686</v>
      </c>
      <c r="O109" s="654"/>
    </row>
    <row r="110" spans="1:15" ht="12.75">
      <c r="A110" s="261" t="s">
        <v>123</v>
      </c>
      <c r="B110" s="262">
        <f>'Ave weights'!Q85</f>
        <v>3.2075340000000003</v>
      </c>
      <c r="C110" s="663">
        <v>97</v>
      </c>
      <c r="D110" s="664">
        <v>132</v>
      </c>
      <c r="E110" s="664">
        <v>146</v>
      </c>
      <c r="F110" s="664">
        <v>89</v>
      </c>
      <c r="G110" s="664">
        <v>74</v>
      </c>
      <c r="H110" s="39">
        <v>86</v>
      </c>
      <c r="I110" s="236">
        <f t="shared" si="44"/>
        <v>30241.30063781085</v>
      </c>
      <c r="J110" s="39">
        <f t="shared" si="44"/>
        <v>41153.1101462993</v>
      </c>
      <c r="K110" s="39">
        <f t="shared" si="40"/>
        <v>45517.83394969469</v>
      </c>
      <c r="L110" s="39">
        <f t="shared" si="41"/>
        <v>27747.172750156347</v>
      </c>
      <c r="M110" s="39">
        <f t="shared" si="42"/>
        <v>23070.682960804155</v>
      </c>
      <c r="N110" s="39">
        <f t="shared" si="43"/>
        <v>26811.874792285907</v>
      </c>
      <c r="O110" s="654"/>
    </row>
    <row r="111" spans="1:15" ht="12.75">
      <c r="A111" s="261"/>
      <c r="B111" s="262"/>
      <c r="C111" s="663"/>
      <c r="D111" s="664"/>
      <c r="E111" s="664"/>
      <c r="F111" s="664"/>
      <c r="G111" s="664"/>
      <c r="H111" s="39"/>
      <c r="I111" s="236"/>
      <c r="J111" s="39"/>
      <c r="K111" s="39"/>
      <c r="L111" s="39"/>
      <c r="M111" s="39"/>
      <c r="N111" s="39"/>
      <c r="O111" s="654"/>
    </row>
    <row r="112" spans="1:15" ht="12.75">
      <c r="A112" s="261"/>
      <c r="B112" s="262"/>
      <c r="C112" s="215"/>
      <c r="D112" s="38"/>
      <c r="E112" s="38"/>
      <c r="F112" s="38"/>
      <c r="G112" s="38"/>
      <c r="H112" s="41"/>
      <c r="I112" s="214"/>
      <c r="J112" s="41"/>
      <c r="K112" s="41"/>
      <c r="L112" s="41"/>
      <c r="M112" s="39"/>
      <c r="N112" s="41"/>
      <c r="O112" s="654"/>
    </row>
    <row r="113" spans="1:15" ht="12.75">
      <c r="A113" s="261" t="s">
        <v>124</v>
      </c>
      <c r="B113" s="262">
        <f>'Ave weights'!Q86</f>
        <v>24.408508866666665</v>
      </c>
      <c r="C113" s="661">
        <v>25822</v>
      </c>
      <c r="D113" s="662">
        <v>16819</v>
      </c>
      <c r="E113" s="662">
        <v>15442</v>
      </c>
      <c r="F113" s="662">
        <v>12470</v>
      </c>
      <c r="G113" s="662">
        <v>9444</v>
      </c>
      <c r="H113" s="39">
        <v>7601</v>
      </c>
      <c r="I113" s="236">
        <f>C113*1000/$B113</f>
        <v>1057909.769951726</v>
      </c>
      <c r="J113" s="39">
        <f>D113*1000/$B113</f>
        <v>689062.9858577214</v>
      </c>
      <c r="K113" s="39">
        <f t="shared" si="40"/>
        <v>632648.2328090216</v>
      </c>
      <c r="L113" s="39">
        <f t="shared" si="41"/>
        <v>510887.41504523373</v>
      </c>
      <c r="M113" s="39">
        <f t="shared" si="42"/>
        <v>386914.2540246341</v>
      </c>
      <c r="N113" s="39">
        <f t="shared" si="43"/>
        <v>311407.79805604025</v>
      </c>
      <c r="O113" s="654"/>
    </row>
    <row r="114" spans="1:15" ht="12.75">
      <c r="A114" s="261" t="s">
        <v>125</v>
      </c>
      <c r="B114" s="262">
        <f>'Ave weights'!Q87</f>
        <v>35</v>
      </c>
      <c r="C114" s="661">
        <v>3702</v>
      </c>
      <c r="D114" s="662">
        <v>3766</v>
      </c>
      <c r="E114" s="662">
        <v>3996</v>
      </c>
      <c r="F114" s="662">
        <v>4103</v>
      </c>
      <c r="G114" s="662">
        <v>5643</v>
      </c>
      <c r="H114" s="39">
        <v>8001</v>
      </c>
      <c r="I114" s="236">
        <f>C114*1000/$B114</f>
        <v>105771.42857142857</v>
      </c>
      <c r="J114" s="39">
        <f>D114*1000/$B114</f>
        <v>107600</v>
      </c>
      <c r="K114" s="39">
        <f t="shared" si="40"/>
        <v>114171.42857142857</v>
      </c>
      <c r="L114" s="39">
        <f t="shared" si="41"/>
        <v>117228.57142857143</v>
      </c>
      <c r="M114" s="39">
        <f t="shared" si="42"/>
        <v>161228.57142857142</v>
      </c>
      <c r="N114" s="39">
        <f t="shared" si="43"/>
        <v>228600</v>
      </c>
      <c r="O114" s="654"/>
    </row>
    <row r="115" spans="1:15" ht="12.75">
      <c r="A115" s="261"/>
      <c r="B115" s="262"/>
      <c r="C115" s="661"/>
      <c r="D115" s="662"/>
      <c r="E115" s="662"/>
      <c r="F115" s="662"/>
      <c r="G115" s="662"/>
      <c r="H115" s="39"/>
      <c r="I115" s="236"/>
      <c r="J115" s="39"/>
      <c r="K115" s="39"/>
      <c r="L115" s="39"/>
      <c r="M115" s="39"/>
      <c r="N115" s="39"/>
      <c r="O115" s="654"/>
    </row>
    <row r="116" spans="1:15" ht="12.75">
      <c r="A116" s="261" t="s">
        <v>126</v>
      </c>
      <c r="B116" s="262">
        <f>'Ave weights'!Q88</f>
        <v>2.6334999999999997</v>
      </c>
      <c r="C116" s="661">
        <v>1480</v>
      </c>
      <c r="D116" s="662">
        <v>1655</v>
      </c>
      <c r="E116" s="662">
        <v>1818</v>
      </c>
      <c r="F116" s="662">
        <v>1724</v>
      </c>
      <c r="G116" s="662">
        <v>1654</v>
      </c>
      <c r="H116" s="39">
        <v>826</v>
      </c>
      <c r="I116" s="236">
        <f aca="true" t="shared" si="45" ref="I116:J118">C116*1000/$B116</f>
        <v>561989.7474843365</v>
      </c>
      <c r="J116" s="39">
        <f t="shared" si="45"/>
        <v>628441.2378963358</v>
      </c>
      <c r="K116" s="39">
        <f t="shared" si="40"/>
        <v>690336.0546800836</v>
      </c>
      <c r="L116" s="39">
        <f t="shared" si="41"/>
        <v>654642.1112587812</v>
      </c>
      <c r="M116" s="39">
        <f t="shared" si="42"/>
        <v>628061.5150939814</v>
      </c>
      <c r="N116" s="39">
        <f t="shared" si="43"/>
        <v>313651.03474463645</v>
      </c>
      <c r="O116" s="654"/>
    </row>
    <row r="117" spans="1:15" ht="12.75">
      <c r="A117" s="261" t="s">
        <v>127</v>
      </c>
      <c r="B117" s="262">
        <f>'Ave weights'!Q89</f>
        <v>63</v>
      </c>
      <c r="C117" s="661">
        <v>57188</v>
      </c>
      <c r="D117" s="662">
        <v>61453</v>
      </c>
      <c r="E117" s="662">
        <v>62293</v>
      </c>
      <c r="F117" s="662">
        <v>64766</v>
      </c>
      <c r="G117" s="662">
        <v>60450</v>
      </c>
      <c r="H117" s="39">
        <v>54895</v>
      </c>
      <c r="I117" s="236">
        <f t="shared" si="45"/>
        <v>907746.0317460317</v>
      </c>
      <c r="J117" s="39">
        <f t="shared" si="45"/>
        <v>975444.4444444445</v>
      </c>
      <c r="K117" s="39">
        <f t="shared" si="40"/>
        <v>988777.7777777778</v>
      </c>
      <c r="L117" s="39">
        <f t="shared" si="41"/>
        <v>1028031.746031746</v>
      </c>
      <c r="M117" s="39">
        <f t="shared" si="42"/>
        <v>959523.8095238095</v>
      </c>
      <c r="N117" s="39">
        <f t="shared" si="43"/>
        <v>871349.2063492064</v>
      </c>
      <c r="O117" s="654"/>
    </row>
    <row r="118" spans="1:15" ht="12.75">
      <c r="A118" s="261" t="s">
        <v>128</v>
      </c>
      <c r="B118" s="262">
        <f>'Ave weights'!Q90</f>
        <v>0.12807666666666667</v>
      </c>
      <c r="C118" s="663">
        <v>794</v>
      </c>
      <c r="D118" s="664">
        <v>381</v>
      </c>
      <c r="E118" s="664">
        <v>593</v>
      </c>
      <c r="F118" s="664">
        <v>945</v>
      </c>
      <c r="G118" s="662">
        <v>1248</v>
      </c>
      <c r="H118" s="39">
        <v>1162</v>
      </c>
      <c r="I118" s="236">
        <f t="shared" si="45"/>
        <v>6199411.810634255</v>
      </c>
      <c r="J118" s="39">
        <f t="shared" si="45"/>
        <v>2974780.730291752</v>
      </c>
      <c r="K118" s="39">
        <f t="shared" si="40"/>
        <v>4630039.299377977</v>
      </c>
      <c r="L118" s="39">
        <f t="shared" si="41"/>
        <v>7378393.1499362355</v>
      </c>
      <c r="M118" s="39">
        <f t="shared" si="42"/>
        <v>9744163.651979282</v>
      </c>
      <c r="N118" s="39">
        <f t="shared" si="43"/>
        <v>9072690.83621789</v>
      </c>
      <c r="O118" s="654"/>
    </row>
    <row r="119" spans="1:15" ht="12.75">
      <c r="A119" s="261" t="s">
        <v>743</v>
      </c>
      <c r="B119" s="262">
        <f>'Ave weights'!Q91</f>
        <v>0.0611559826588</v>
      </c>
      <c r="C119" s="663"/>
      <c r="D119" s="664"/>
      <c r="E119" s="664"/>
      <c r="F119" s="664"/>
      <c r="G119" s="662"/>
      <c r="H119" s="39"/>
      <c r="I119" s="236"/>
      <c r="J119" s="39"/>
      <c r="K119" s="39"/>
      <c r="L119" s="39"/>
      <c r="M119" s="39"/>
      <c r="N119" s="39"/>
      <c r="O119" s="654"/>
    </row>
    <row r="120" spans="1:15" ht="12.75">
      <c r="A120" s="261" t="s">
        <v>129</v>
      </c>
      <c r="B120" s="262">
        <f>'Ave weights'!Q92</f>
        <v>3.5145</v>
      </c>
      <c r="C120" s="661">
        <v>3566</v>
      </c>
      <c r="D120" s="662">
        <v>1978</v>
      </c>
      <c r="E120" s="662">
        <v>2902</v>
      </c>
      <c r="F120" s="662">
        <v>2506</v>
      </c>
      <c r="G120" s="662">
        <v>3187</v>
      </c>
      <c r="H120" s="39">
        <v>4165</v>
      </c>
      <c r="I120" s="236">
        <f aca="true" t="shared" si="46" ref="I120:J122">C120*1000/$B120</f>
        <v>1014653.5780338597</v>
      </c>
      <c r="J120" s="39">
        <f t="shared" si="46"/>
        <v>562811.2106985346</v>
      </c>
      <c r="K120" s="39">
        <f t="shared" si="40"/>
        <v>825722.0088206003</v>
      </c>
      <c r="L120" s="39">
        <f t="shared" si="41"/>
        <v>713045.9524825722</v>
      </c>
      <c r="M120" s="39">
        <f t="shared" si="42"/>
        <v>906814.6251244843</v>
      </c>
      <c r="N120" s="39">
        <f t="shared" si="43"/>
        <v>1185090.3400199176</v>
      </c>
      <c r="O120" s="654"/>
    </row>
    <row r="121" spans="1:15" ht="12.75">
      <c r="A121" s="261" t="s">
        <v>130</v>
      </c>
      <c r="B121" s="262">
        <f>'Ave weights'!Q93</f>
        <v>0.946</v>
      </c>
      <c r="C121" s="661">
        <v>4156</v>
      </c>
      <c r="D121" s="662">
        <v>3062</v>
      </c>
      <c r="E121" s="662">
        <v>4245</v>
      </c>
      <c r="F121" s="662">
        <v>3728</v>
      </c>
      <c r="G121" s="662">
        <v>1946</v>
      </c>
      <c r="H121" s="39">
        <v>1596</v>
      </c>
      <c r="I121" s="236">
        <f t="shared" si="46"/>
        <v>4393234.67230444</v>
      </c>
      <c r="J121" s="39">
        <f t="shared" si="46"/>
        <v>3236786.469344609</v>
      </c>
      <c r="K121" s="39">
        <f t="shared" si="40"/>
        <v>4487315.010570825</v>
      </c>
      <c r="L121" s="39">
        <f t="shared" si="41"/>
        <v>3940803.382663848</v>
      </c>
      <c r="M121" s="39">
        <f t="shared" si="42"/>
        <v>2057082.4524312897</v>
      </c>
      <c r="N121" s="39">
        <f t="shared" si="43"/>
        <v>1687103.5940803383</v>
      </c>
      <c r="O121" s="654"/>
    </row>
    <row r="122" spans="1:15" ht="12.75">
      <c r="A122" s="261" t="s">
        <v>131</v>
      </c>
      <c r="B122" s="262">
        <f>'Ave weights'!Q94</f>
        <v>6.205</v>
      </c>
      <c r="C122" s="661">
        <v>2936</v>
      </c>
      <c r="D122" s="662">
        <v>3810</v>
      </c>
      <c r="E122" s="662">
        <v>3252</v>
      </c>
      <c r="F122" s="662">
        <v>2787</v>
      </c>
      <c r="G122" s="662">
        <v>3479</v>
      </c>
      <c r="H122" s="39">
        <v>3496</v>
      </c>
      <c r="I122" s="236">
        <f t="shared" si="46"/>
        <v>473166.8009669621</v>
      </c>
      <c r="J122" s="39">
        <f t="shared" si="46"/>
        <v>614020.9508460918</v>
      </c>
      <c r="K122" s="39">
        <f t="shared" si="40"/>
        <v>524093.4730056406</v>
      </c>
      <c r="L122" s="39">
        <f t="shared" si="41"/>
        <v>449153.9081385979</v>
      </c>
      <c r="M122" s="39">
        <f t="shared" si="42"/>
        <v>560676.8734891217</v>
      </c>
      <c r="N122" s="39">
        <f t="shared" si="43"/>
        <v>563416.5995165189</v>
      </c>
      <c r="O122" s="654"/>
    </row>
    <row r="123" spans="1:15" ht="12.75">
      <c r="A123" s="261"/>
      <c r="B123" s="262"/>
      <c r="C123" s="661"/>
      <c r="D123" s="662"/>
      <c r="E123" s="662"/>
      <c r="F123" s="662"/>
      <c r="G123" s="662"/>
      <c r="H123" s="41"/>
      <c r="I123" s="214"/>
      <c r="J123" s="41"/>
      <c r="K123" s="41"/>
      <c r="L123" s="41"/>
      <c r="M123" s="39"/>
      <c r="N123" s="41"/>
      <c r="O123" s="654"/>
    </row>
    <row r="124" spans="1:15" ht="12.75">
      <c r="A124" s="261" t="s">
        <v>132</v>
      </c>
      <c r="B124" s="262">
        <f>'Ave weights'!Q95</f>
        <v>50</v>
      </c>
      <c r="C124" s="661">
        <v>2314</v>
      </c>
      <c r="D124" s="662">
        <v>1525</v>
      </c>
      <c r="E124" s="662">
        <v>1960</v>
      </c>
      <c r="F124" s="662">
        <v>2471</v>
      </c>
      <c r="G124" s="662">
        <v>1719</v>
      </c>
      <c r="H124" s="39">
        <v>2858</v>
      </c>
      <c r="I124" s="236">
        <f aca="true" t="shared" si="47" ref="I124:J128">C124*1000/$B124</f>
        <v>46280</v>
      </c>
      <c r="J124" s="39">
        <f t="shared" si="47"/>
        <v>30500</v>
      </c>
      <c r="K124" s="39">
        <f t="shared" si="40"/>
        <v>39200</v>
      </c>
      <c r="L124" s="39">
        <f t="shared" si="41"/>
        <v>49420</v>
      </c>
      <c r="M124" s="39">
        <f t="shared" si="42"/>
        <v>34380</v>
      </c>
      <c r="N124" s="39">
        <f t="shared" si="43"/>
        <v>57160</v>
      </c>
      <c r="O124" s="654"/>
    </row>
    <row r="125" spans="1:15" ht="12.75">
      <c r="A125" s="261" t="s">
        <v>133</v>
      </c>
      <c r="B125" s="262">
        <f>'Ave weights'!Q96</f>
        <v>0.4082733333333333</v>
      </c>
      <c r="C125" s="661">
        <v>5282</v>
      </c>
      <c r="D125" s="662">
        <v>3692</v>
      </c>
      <c r="E125" s="662">
        <v>5479</v>
      </c>
      <c r="F125" s="662">
        <v>2889</v>
      </c>
      <c r="G125" s="662">
        <v>5721</v>
      </c>
      <c r="H125" s="39">
        <v>3203</v>
      </c>
      <c r="I125" s="236">
        <f t="shared" si="47"/>
        <v>12937411.211443314</v>
      </c>
      <c r="J125" s="39">
        <f t="shared" si="47"/>
        <v>9042961.414738493</v>
      </c>
      <c r="K125" s="39">
        <f t="shared" si="40"/>
        <v>13419931.091915548</v>
      </c>
      <c r="L125" s="39">
        <f t="shared" si="41"/>
        <v>7076141.800427818</v>
      </c>
      <c r="M125" s="39">
        <f t="shared" si="42"/>
        <v>14012671.249653012</v>
      </c>
      <c r="N125" s="39">
        <f t="shared" si="43"/>
        <v>7845234.401789651</v>
      </c>
      <c r="O125" s="654"/>
    </row>
    <row r="126" spans="1:15" ht="12.75">
      <c r="A126" s="261" t="s">
        <v>134</v>
      </c>
      <c r="B126" s="262">
        <f>'Ave weights'!Q97</f>
        <v>16.181504321066665</v>
      </c>
      <c r="C126" s="661">
        <v>7212</v>
      </c>
      <c r="D126" s="662">
        <v>7307</v>
      </c>
      <c r="E126" s="662">
        <v>7434</v>
      </c>
      <c r="F126" s="662">
        <v>7072</v>
      </c>
      <c r="G126" s="662">
        <v>7383</v>
      </c>
      <c r="H126" s="39">
        <v>6603</v>
      </c>
      <c r="I126" s="236">
        <f t="shared" si="47"/>
        <v>445694.03789057565</v>
      </c>
      <c r="J126" s="39">
        <f t="shared" si="47"/>
        <v>451564.9382787627</v>
      </c>
      <c r="K126" s="39">
        <f t="shared" si="40"/>
        <v>459413.4051134969</v>
      </c>
      <c r="L126" s="39">
        <f t="shared" si="41"/>
        <v>437042.18468693167</v>
      </c>
      <c r="M126" s="39">
        <f t="shared" si="42"/>
        <v>456261.6585893123</v>
      </c>
      <c r="N126" s="39">
        <f t="shared" si="43"/>
        <v>408058.4764547242</v>
      </c>
      <c r="O126" s="654"/>
    </row>
    <row r="127" spans="1:15" ht="12.75">
      <c r="A127" s="261" t="s">
        <v>135</v>
      </c>
      <c r="B127" s="262">
        <f>'Ave weights'!Q98</f>
        <v>832.5413512333333</v>
      </c>
      <c r="C127" s="661">
        <v>8525</v>
      </c>
      <c r="D127" s="662">
        <v>7736</v>
      </c>
      <c r="E127" s="662">
        <v>8864</v>
      </c>
      <c r="F127" s="662">
        <v>8073</v>
      </c>
      <c r="G127" s="662">
        <v>8261</v>
      </c>
      <c r="H127" s="39">
        <v>6869</v>
      </c>
      <c r="I127" s="236">
        <f t="shared" si="47"/>
        <v>10239.731620983148</v>
      </c>
      <c r="J127" s="39">
        <f t="shared" si="47"/>
        <v>9292.030946618841</v>
      </c>
      <c r="K127" s="39">
        <f t="shared" si="40"/>
        <v>10646.918602744237</v>
      </c>
      <c r="L127" s="39">
        <f t="shared" si="41"/>
        <v>9696.815645301695</v>
      </c>
      <c r="M127" s="39">
        <f t="shared" si="42"/>
        <v>9922.630254655927</v>
      </c>
      <c r="N127" s="39">
        <f t="shared" si="43"/>
        <v>8250.641232203312</v>
      </c>
      <c r="O127" s="654"/>
    </row>
    <row r="128" spans="1:15" ht="12.75">
      <c r="A128" s="261" t="s">
        <v>136</v>
      </c>
      <c r="B128" s="262">
        <f>'Ave weights'!Q99</f>
        <v>3.1364150800000004</v>
      </c>
      <c r="C128" s="663">
        <v>322</v>
      </c>
      <c r="D128" s="664">
        <v>1570</v>
      </c>
      <c r="E128" s="664">
        <v>596</v>
      </c>
      <c r="F128" s="664">
        <v>896</v>
      </c>
      <c r="G128" s="662">
        <v>1212</v>
      </c>
      <c r="H128" s="39">
        <v>1770</v>
      </c>
      <c r="I128" s="236">
        <f t="shared" si="47"/>
        <v>102664.98272288627</v>
      </c>
      <c r="J128" s="39">
        <f t="shared" si="47"/>
        <v>500571.49961158837</v>
      </c>
      <c r="K128" s="39">
        <f t="shared" si="40"/>
        <v>190025.86864236093</v>
      </c>
      <c r="L128" s="39">
        <f t="shared" si="41"/>
        <v>285676.4736636835</v>
      </c>
      <c r="M128" s="39">
        <f t="shared" si="42"/>
        <v>386428.44428614335</v>
      </c>
      <c r="N128" s="39">
        <f t="shared" si="43"/>
        <v>564338.5696258034</v>
      </c>
      <c r="O128" s="654"/>
    </row>
    <row r="129" spans="1:15" ht="12.75">
      <c r="A129" s="261" t="s">
        <v>472</v>
      </c>
      <c r="B129" s="262"/>
      <c r="C129" s="663"/>
      <c r="D129" s="664"/>
      <c r="E129" s="664"/>
      <c r="F129" s="664"/>
      <c r="G129" s="662"/>
      <c r="H129" s="39"/>
      <c r="I129" s="236"/>
      <c r="J129" s="39"/>
      <c r="K129" s="39"/>
      <c r="L129" s="39"/>
      <c r="M129" s="39"/>
      <c r="N129" s="39"/>
      <c r="O129" s="654"/>
    </row>
    <row r="130" spans="1:15" ht="12.75">
      <c r="A130" s="261" t="s">
        <v>443</v>
      </c>
      <c r="B130" s="262">
        <f>'Ave weights'!Q100</f>
        <v>10</v>
      </c>
      <c r="C130" s="661">
        <v>2886</v>
      </c>
      <c r="D130" s="662">
        <v>3173</v>
      </c>
      <c r="E130" s="662">
        <v>3376</v>
      </c>
      <c r="F130" s="662">
        <v>2952</v>
      </c>
      <c r="G130" s="662">
        <v>2570</v>
      </c>
      <c r="H130" s="39">
        <v>3090</v>
      </c>
      <c r="I130" s="236">
        <f>C130*1000/$B130</f>
        <v>288600</v>
      </c>
      <c r="J130" s="39">
        <f>D130*1000/$B130</f>
        <v>317300</v>
      </c>
      <c r="K130" s="39">
        <f t="shared" si="40"/>
        <v>337600</v>
      </c>
      <c r="L130" s="39">
        <f t="shared" si="41"/>
        <v>295200</v>
      </c>
      <c r="M130" s="39">
        <f t="shared" si="42"/>
        <v>257000</v>
      </c>
      <c r="N130" s="39">
        <f t="shared" si="43"/>
        <v>309000</v>
      </c>
      <c r="O130" s="654"/>
    </row>
    <row r="131" spans="1:15" ht="12.75">
      <c r="A131" s="261" t="s">
        <v>703</v>
      </c>
      <c r="B131" s="262">
        <f>'Ave weights'!Q101</f>
        <v>21</v>
      </c>
      <c r="C131" s="661"/>
      <c r="D131" s="662"/>
      <c r="E131" s="662"/>
      <c r="F131" s="662"/>
      <c r="G131" s="662"/>
      <c r="H131" s="39"/>
      <c r="I131" s="236"/>
      <c r="J131" s="39"/>
      <c r="K131" s="39"/>
      <c r="L131" s="39"/>
      <c r="M131" s="39"/>
      <c r="N131" s="39"/>
      <c r="O131" s="654"/>
    </row>
    <row r="132" spans="1:15" ht="12.75">
      <c r="A132" s="261" t="s">
        <v>137</v>
      </c>
      <c r="B132" s="262">
        <f>'Ave weights'!Q102</f>
        <v>10.770904068333332</v>
      </c>
      <c r="C132" s="663">
        <v>428</v>
      </c>
      <c r="D132" s="664">
        <v>414</v>
      </c>
      <c r="E132" s="664">
        <v>391</v>
      </c>
      <c r="F132" s="664">
        <v>464</v>
      </c>
      <c r="G132" s="664">
        <v>480</v>
      </c>
      <c r="H132" s="39">
        <v>392</v>
      </c>
      <c r="I132" s="236">
        <f aca="true" t="shared" si="48" ref="I132:I138">C132*1000/$B132</f>
        <v>39736.6829455225</v>
      </c>
      <c r="J132" s="39">
        <f aca="true" t="shared" si="49" ref="J132:J138">D132*1000/$B132</f>
        <v>38436.8849052484</v>
      </c>
      <c r="K132" s="39">
        <f t="shared" si="40"/>
        <v>36301.502410512374</v>
      </c>
      <c r="L132" s="39">
        <f t="shared" si="41"/>
        <v>43079.02076337019</v>
      </c>
      <c r="M132" s="39">
        <f t="shared" si="42"/>
        <v>44564.50423796916</v>
      </c>
      <c r="N132" s="39">
        <f t="shared" si="43"/>
        <v>36394.34512767481</v>
      </c>
      <c r="O132" s="654"/>
    </row>
    <row r="133" spans="1:15" ht="12.75">
      <c r="A133" s="261" t="s">
        <v>138</v>
      </c>
      <c r="B133" s="262">
        <f>'Ave weights'!Q103</f>
        <v>24.18560219731</v>
      </c>
      <c r="C133" s="661">
        <v>26328</v>
      </c>
      <c r="D133" s="662">
        <v>26637</v>
      </c>
      <c r="E133" s="662">
        <v>27875</v>
      </c>
      <c r="F133" s="662">
        <v>25429</v>
      </c>
      <c r="G133" s="662">
        <v>26444</v>
      </c>
      <c r="H133" s="39">
        <v>28961</v>
      </c>
      <c r="I133" s="236">
        <f t="shared" si="48"/>
        <v>1088581.5364534643</v>
      </c>
      <c r="J133" s="39">
        <f t="shared" si="49"/>
        <v>1101357.7326994427</v>
      </c>
      <c r="K133" s="39">
        <f t="shared" si="40"/>
        <v>1152545.2115101912</v>
      </c>
      <c r="L133" s="39">
        <f t="shared" si="41"/>
        <v>1051410.6612912163</v>
      </c>
      <c r="M133" s="39">
        <f t="shared" si="42"/>
        <v>1093377.7784098834</v>
      </c>
      <c r="N133" s="39">
        <f t="shared" si="43"/>
        <v>1197447.959481494</v>
      </c>
      <c r="O133" s="654"/>
    </row>
    <row r="134" spans="1:15" ht="12.75">
      <c r="A134" s="261" t="s">
        <v>274</v>
      </c>
      <c r="B134" s="262">
        <f>'Ave weights'!Q104</f>
        <v>38.58089585</v>
      </c>
      <c r="C134" s="661">
        <v>13862</v>
      </c>
      <c r="D134" s="662">
        <v>13669</v>
      </c>
      <c r="E134" s="662">
        <v>11584</v>
      </c>
      <c r="F134" s="662">
        <v>14239</v>
      </c>
      <c r="G134" s="662">
        <v>13672</v>
      </c>
      <c r="H134" s="39">
        <v>22970</v>
      </c>
      <c r="I134" s="236">
        <f t="shared" si="48"/>
        <v>359296.9964693031</v>
      </c>
      <c r="J134" s="39">
        <f t="shared" si="49"/>
        <v>354294.52061310806</v>
      </c>
      <c r="K134" s="39">
        <f t="shared" si="40"/>
        <v>300252.2296277887</v>
      </c>
      <c r="L134" s="39">
        <f t="shared" si="41"/>
        <v>369068.67210549756</v>
      </c>
      <c r="M134" s="39">
        <f t="shared" si="42"/>
        <v>354372.27930517326</v>
      </c>
      <c r="N134" s="39">
        <f t="shared" si="43"/>
        <v>595372.3855792737</v>
      </c>
      <c r="O134" s="654"/>
    </row>
    <row r="135" spans="1:15" ht="12.75">
      <c r="A135" s="261" t="s">
        <v>275</v>
      </c>
      <c r="B135" s="262">
        <f>'Ave weights'!Q105</f>
        <v>265.84182153333336</v>
      </c>
      <c r="C135" s="663">
        <v>2752</v>
      </c>
      <c r="D135" s="664">
        <v>1382</v>
      </c>
      <c r="E135" s="664">
        <v>1937</v>
      </c>
      <c r="F135" s="664">
        <v>726</v>
      </c>
      <c r="G135" s="664">
        <v>639</v>
      </c>
      <c r="H135" s="39">
        <v>565</v>
      </c>
      <c r="I135" s="236">
        <f t="shared" si="48"/>
        <v>10352.020551645717</v>
      </c>
      <c r="J135" s="39">
        <f t="shared" si="49"/>
        <v>5198.580088072086</v>
      </c>
      <c r="K135" s="39">
        <f t="shared" si="40"/>
        <v>7286.287721125637</v>
      </c>
      <c r="L135" s="39">
        <f t="shared" si="41"/>
        <v>2730.9472821565373</v>
      </c>
      <c r="M135" s="39">
        <f t="shared" si="42"/>
        <v>2403.6850045427373</v>
      </c>
      <c r="N135" s="39">
        <f t="shared" si="43"/>
        <v>2125.323986802264</v>
      </c>
      <c r="O135" s="654"/>
    </row>
    <row r="136" spans="1:15" ht="12.75">
      <c r="A136" s="261" t="s">
        <v>276</v>
      </c>
      <c r="B136" s="262">
        <f>'Ave weights'!Q106</f>
        <v>8.239879462047</v>
      </c>
      <c r="C136" s="663">
        <v>624</v>
      </c>
      <c r="D136" s="664">
        <v>1098</v>
      </c>
      <c r="E136" s="664">
        <v>780</v>
      </c>
      <c r="F136" s="664">
        <v>555</v>
      </c>
      <c r="G136" s="664">
        <v>730</v>
      </c>
      <c r="H136" s="39">
        <v>643</v>
      </c>
      <c r="I136" s="236">
        <f t="shared" si="48"/>
        <v>75729.2631371797</v>
      </c>
      <c r="J136" s="39">
        <f t="shared" si="49"/>
        <v>133254.37648176812</v>
      </c>
      <c r="K136" s="39">
        <f t="shared" si="40"/>
        <v>94661.57892147463</v>
      </c>
      <c r="L136" s="39">
        <f t="shared" si="41"/>
        <v>67355.35423258772</v>
      </c>
      <c r="M136" s="39">
        <f t="shared" si="42"/>
        <v>88593.52899061087</v>
      </c>
      <c r="N136" s="39">
        <f t="shared" si="43"/>
        <v>78035.12211090793</v>
      </c>
      <c r="O136" s="654"/>
    </row>
    <row r="137" spans="1:15" ht="12.75">
      <c r="A137" s="261" t="s">
        <v>277</v>
      </c>
      <c r="B137" s="262">
        <f>'Ave weights'!Q107</f>
        <v>12.585400895</v>
      </c>
      <c r="C137" s="663">
        <v>637</v>
      </c>
      <c r="D137" s="664">
        <v>308</v>
      </c>
      <c r="E137" s="664">
        <v>734</v>
      </c>
      <c r="F137" s="664">
        <v>918</v>
      </c>
      <c r="G137" s="664">
        <v>742</v>
      </c>
      <c r="H137" s="39">
        <v>122948</v>
      </c>
      <c r="I137" s="236">
        <f t="shared" si="48"/>
        <v>50614.200160526554</v>
      </c>
      <c r="J137" s="39">
        <f t="shared" si="49"/>
        <v>24472.800077617234</v>
      </c>
      <c r="K137" s="39">
        <f t="shared" si="40"/>
        <v>58321.5430421138</v>
      </c>
      <c r="L137" s="39">
        <f t="shared" si="41"/>
        <v>72941.65737419682</v>
      </c>
      <c r="M137" s="39">
        <f t="shared" si="42"/>
        <v>58957.20018698698</v>
      </c>
      <c r="N137" s="39">
        <f t="shared" si="43"/>
        <v>9769096.83098339</v>
      </c>
      <c r="O137" s="654"/>
    </row>
    <row r="138" spans="1:15" ht="12.75">
      <c r="A138" s="269" t="s">
        <v>278</v>
      </c>
      <c r="B138" s="262">
        <f>'Ave weights'!Q108</f>
        <v>43.541296745</v>
      </c>
      <c r="C138" s="661">
        <v>6334</v>
      </c>
      <c r="D138" s="662">
        <v>4491</v>
      </c>
      <c r="E138" s="662">
        <v>6083</v>
      </c>
      <c r="F138" s="662">
        <v>5996</v>
      </c>
      <c r="G138" s="662">
        <v>8551</v>
      </c>
      <c r="H138" s="39">
        <v>26170</v>
      </c>
      <c r="I138" s="236">
        <f t="shared" si="48"/>
        <v>145471.09235388943</v>
      </c>
      <c r="J138" s="39">
        <f t="shared" si="49"/>
        <v>103143.46001915337</v>
      </c>
      <c r="K138" s="39">
        <f t="shared" si="40"/>
        <v>139706.45007715654</v>
      </c>
      <c r="L138" s="39">
        <f t="shared" si="41"/>
        <v>137708.3469772531</v>
      </c>
      <c r="M138" s="39">
        <f t="shared" si="42"/>
        <v>196388.2713479805</v>
      </c>
      <c r="N138" s="39">
        <f t="shared" si="43"/>
        <v>601038.5991318735</v>
      </c>
      <c r="O138" s="654"/>
    </row>
    <row r="139" spans="1:15" ht="12.75">
      <c r="A139" s="269"/>
      <c r="B139" s="262"/>
      <c r="C139" s="661"/>
      <c r="D139" s="662"/>
      <c r="E139" s="662"/>
      <c r="F139" s="662"/>
      <c r="G139" s="662"/>
      <c r="H139" s="39"/>
      <c r="I139" s="236"/>
      <c r="J139" s="39"/>
      <c r="K139" s="39"/>
      <c r="L139" s="39"/>
      <c r="M139" s="39"/>
      <c r="N139" s="39"/>
      <c r="O139" s="654"/>
    </row>
    <row r="140" spans="1:15" ht="12.75">
      <c r="A140" s="269"/>
      <c r="B140" s="262"/>
      <c r="C140" s="661"/>
      <c r="D140" s="662"/>
      <c r="E140" s="662"/>
      <c r="F140" s="662"/>
      <c r="G140" s="662"/>
      <c r="H140" s="39"/>
      <c r="I140" s="236"/>
      <c r="J140" s="39"/>
      <c r="K140" s="39"/>
      <c r="L140" s="39"/>
      <c r="M140" s="39"/>
      <c r="N140" s="39"/>
      <c r="O140" s="654"/>
    </row>
    <row r="141" spans="1:15" ht="12.75">
      <c r="A141" s="261" t="s">
        <v>644</v>
      </c>
      <c r="B141" s="262">
        <f>'Ave weights'!Q109</f>
        <v>63.87054081753807</v>
      </c>
      <c r="C141" s="663">
        <v>557</v>
      </c>
      <c r="D141" s="664">
        <v>462</v>
      </c>
      <c r="E141" s="664">
        <v>71</v>
      </c>
      <c r="F141" s="664">
        <v>40</v>
      </c>
      <c r="G141" s="664">
        <v>39</v>
      </c>
      <c r="H141" s="39">
        <v>52</v>
      </c>
      <c r="I141" s="236">
        <f aca="true" t="shared" si="50" ref="I141:N141">C141*1000/$B141</f>
        <v>8720.765361784044</v>
      </c>
      <c r="J141" s="39">
        <f t="shared" si="50"/>
        <v>7233.38168248515</v>
      </c>
      <c r="K141" s="39">
        <f t="shared" si="50"/>
        <v>1111.6235918970685</v>
      </c>
      <c r="L141" s="39">
        <f t="shared" si="50"/>
        <v>626.2668123363767</v>
      </c>
      <c r="M141" s="39">
        <f t="shared" si="50"/>
        <v>610.6101420279672</v>
      </c>
      <c r="N141" s="39">
        <f t="shared" si="50"/>
        <v>814.1468560372897</v>
      </c>
      <c r="O141" s="654"/>
    </row>
    <row r="142" spans="1:15" ht="12.75">
      <c r="A142" s="261"/>
      <c r="B142" s="262"/>
      <c r="C142" s="665"/>
      <c r="D142" s="666"/>
      <c r="E142" s="666"/>
      <c r="F142" s="666"/>
      <c r="G142" s="666"/>
      <c r="H142" s="41"/>
      <c r="I142" s="214"/>
      <c r="J142" s="41"/>
      <c r="K142" s="41"/>
      <c r="L142" s="41"/>
      <c r="M142" s="39"/>
      <c r="N142" s="41"/>
      <c r="O142" s="654"/>
    </row>
    <row r="143" spans="1:15" ht="12.75">
      <c r="A143" s="259" t="s">
        <v>720</v>
      </c>
      <c r="B143" s="262">
        <f>'Ave weights'!Q110</f>
        <v>9.574943029715758</v>
      </c>
      <c r="C143" s="665"/>
      <c r="D143" s="666"/>
      <c r="E143" s="666"/>
      <c r="F143" s="666"/>
      <c r="G143" s="666"/>
      <c r="H143" s="39"/>
      <c r="I143" s="236"/>
      <c r="J143" s="39"/>
      <c r="K143" s="39"/>
      <c r="L143" s="39"/>
      <c r="M143" s="39"/>
      <c r="N143" s="39"/>
      <c r="O143" s="654"/>
    </row>
    <row r="144" spans="1:15" ht="12.75">
      <c r="A144" s="259" t="s">
        <v>699</v>
      </c>
      <c r="B144" s="262">
        <f>B143</f>
        <v>9.574943029715758</v>
      </c>
      <c r="C144" s="665"/>
      <c r="D144" s="666"/>
      <c r="E144" s="666"/>
      <c r="F144" s="666"/>
      <c r="G144" s="666"/>
      <c r="H144" s="39"/>
      <c r="I144" s="236"/>
      <c r="J144" s="39"/>
      <c r="K144" s="39"/>
      <c r="L144" s="39"/>
      <c r="M144" s="39"/>
      <c r="N144" s="39"/>
      <c r="O144" s="654"/>
    </row>
    <row r="145" spans="1:15" ht="12.75">
      <c r="A145" s="261" t="s">
        <v>280</v>
      </c>
      <c r="B145" s="262">
        <f>'Ave weights'!Q111</f>
        <v>26.061</v>
      </c>
      <c r="C145" s="661">
        <v>9590</v>
      </c>
      <c r="D145" s="662">
        <v>10324</v>
      </c>
      <c r="E145" s="662">
        <v>9377</v>
      </c>
      <c r="F145" s="662">
        <v>9550</v>
      </c>
      <c r="G145" s="662">
        <v>10027</v>
      </c>
      <c r="H145" s="39">
        <v>9356</v>
      </c>
      <c r="I145" s="236">
        <f aca="true" t="shared" si="51" ref="I145:K149">C145*1000/$B145</f>
        <v>367982.80956218106</v>
      </c>
      <c r="J145" s="39">
        <f t="shared" si="51"/>
        <v>396147.5000959288</v>
      </c>
      <c r="K145" s="39">
        <f t="shared" si="51"/>
        <v>359809.6772955758</v>
      </c>
      <c r="L145" s="39">
        <f aca="true" t="shared" si="52" ref="L145:M149">F145*1000/$B145</f>
        <v>366447.94904263073</v>
      </c>
      <c r="M145" s="39">
        <f t="shared" si="52"/>
        <v>384751.16073826794</v>
      </c>
      <c r="N145" s="39">
        <f>H145*1000/$B145</f>
        <v>359003.87552281184</v>
      </c>
      <c r="O145" s="654"/>
    </row>
    <row r="146" spans="1:15" ht="12.75">
      <c r="A146" s="261" t="s">
        <v>281</v>
      </c>
      <c r="B146" s="262">
        <f>'Ave weights'!Q112</f>
        <v>9</v>
      </c>
      <c r="C146" s="663">
        <v>0</v>
      </c>
      <c r="D146" s="664">
        <v>6</v>
      </c>
      <c r="E146" s="664">
        <v>74</v>
      </c>
      <c r="F146" s="664">
        <v>109</v>
      </c>
      <c r="G146" s="664">
        <v>143</v>
      </c>
      <c r="H146" s="39">
        <v>179</v>
      </c>
      <c r="I146" s="236">
        <f t="shared" si="51"/>
        <v>0</v>
      </c>
      <c r="J146" s="39">
        <f t="shared" si="51"/>
        <v>666.6666666666666</v>
      </c>
      <c r="K146" s="39">
        <f t="shared" si="51"/>
        <v>8222.222222222223</v>
      </c>
      <c r="L146" s="39">
        <f t="shared" si="52"/>
        <v>12111.111111111111</v>
      </c>
      <c r="M146" s="39">
        <f t="shared" si="52"/>
        <v>15888.888888888889</v>
      </c>
      <c r="N146" s="39">
        <f>H146*1000/$B146</f>
        <v>19888.88888888889</v>
      </c>
      <c r="O146" s="654"/>
    </row>
    <row r="147" spans="1:15" ht="12.75">
      <c r="A147" s="261" t="s">
        <v>282</v>
      </c>
      <c r="B147" s="262">
        <f>'Ave weights'!Q113</f>
        <v>1.0420376080266667</v>
      </c>
      <c r="C147" s="661">
        <v>1575</v>
      </c>
      <c r="D147" s="662">
        <v>1755</v>
      </c>
      <c r="E147" s="662">
        <v>1736</v>
      </c>
      <c r="F147" s="662">
        <v>2192</v>
      </c>
      <c r="G147" s="662">
        <v>1280</v>
      </c>
      <c r="H147" s="39">
        <v>1743</v>
      </c>
      <c r="I147" s="236">
        <f t="shared" si="51"/>
        <v>1511461.7628653708</v>
      </c>
      <c r="J147" s="39">
        <f t="shared" si="51"/>
        <v>1684200.2500499848</v>
      </c>
      <c r="K147" s="39">
        <f t="shared" si="51"/>
        <v>1665966.7430693866</v>
      </c>
      <c r="L147" s="39">
        <f t="shared" si="52"/>
        <v>2103570.9106037416</v>
      </c>
      <c r="M147" s="39">
        <f t="shared" si="52"/>
        <v>1228362.5755350315</v>
      </c>
      <c r="N147" s="39">
        <f>H147*1000/$B147</f>
        <v>1672684.3509043439</v>
      </c>
      <c r="O147" s="654"/>
    </row>
    <row r="148" spans="1:15" ht="12.75">
      <c r="A148" s="261" t="s">
        <v>283</v>
      </c>
      <c r="B148" s="262">
        <f>'Ave weights'!Q114</f>
        <v>0.9572726914026904</v>
      </c>
      <c r="C148" s="661">
        <v>39587</v>
      </c>
      <c r="D148" s="662">
        <v>35955</v>
      </c>
      <c r="E148" s="662">
        <v>39627</v>
      </c>
      <c r="F148" s="662">
        <v>37067</v>
      </c>
      <c r="G148" s="662">
        <v>33696</v>
      </c>
      <c r="H148" s="39">
        <v>27696</v>
      </c>
      <c r="I148" s="236">
        <f t="shared" si="51"/>
        <v>41353942.67018442</v>
      </c>
      <c r="J148" s="39">
        <f t="shared" si="51"/>
        <v>37559830.46723623</v>
      </c>
      <c r="K148" s="39">
        <f t="shared" si="51"/>
        <v>41395728.04686887</v>
      </c>
      <c r="L148" s="39">
        <f t="shared" si="52"/>
        <v>38721463.93906398</v>
      </c>
      <c r="M148" s="39">
        <f t="shared" si="52"/>
        <v>35200001.31898184</v>
      </c>
      <c r="N148" s="39">
        <f>H148*1000/$B148</f>
        <v>28932194.816314135</v>
      </c>
      <c r="O148" s="654"/>
    </row>
    <row r="149" spans="1:15" ht="12.75">
      <c r="A149" s="261" t="s">
        <v>284</v>
      </c>
      <c r="B149" s="262">
        <f>'Ave weights'!Q115</f>
        <v>0.9572726914026904</v>
      </c>
      <c r="C149" s="661">
        <v>12389</v>
      </c>
      <c r="D149" s="662">
        <v>12698</v>
      </c>
      <c r="E149" s="662">
        <v>12460</v>
      </c>
      <c r="F149" s="662">
        <v>11482</v>
      </c>
      <c r="G149" s="662">
        <v>11589</v>
      </c>
      <c r="H149" s="39">
        <v>8908</v>
      </c>
      <c r="I149" s="236">
        <f t="shared" si="51"/>
        <v>12941975.793591702</v>
      </c>
      <c r="J149" s="39">
        <f t="shared" si="51"/>
        <v>13264767.82847909</v>
      </c>
      <c r="K149" s="39">
        <f t="shared" si="51"/>
        <v>13016144.837206604</v>
      </c>
      <c r="L149" s="39">
        <f t="shared" si="52"/>
        <v>11994492.377271768</v>
      </c>
      <c r="M149" s="39">
        <f t="shared" si="52"/>
        <v>12106268.259902675</v>
      </c>
      <c r="N149" s="39">
        <f>H149*1000/$B149</f>
        <v>9305603.387627322</v>
      </c>
      <c r="O149" s="654"/>
    </row>
    <row r="150" spans="1:15" ht="12.75">
      <c r="A150" s="261"/>
      <c r="B150" s="262"/>
      <c r="C150" s="661"/>
      <c r="D150" s="662"/>
      <c r="E150" s="662"/>
      <c r="F150" s="662"/>
      <c r="G150" s="662"/>
      <c r="H150" s="39"/>
      <c r="I150" s="236"/>
      <c r="J150" s="39"/>
      <c r="K150" s="39"/>
      <c r="L150" s="39"/>
      <c r="M150" s="39"/>
      <c r="N150" s="39"/>
      <c r="O150" s="654"/>
    </row>
    <row r="151" spans="1:15" ht="13.5" thickBot="1">
      <c r="A151" s="263"/>
      <c r="B151" s="264"/>
      <c r="C151" s="668"/>
      <c r="D151" s="669"/>
      <c r="E151" s="669"/>
      <c r="F151" s="669"/>
      <c r="G151" s="669"/>
      <c r="H151" s="256"/>
      <c r="I151" s="255"/>
      <c r="J151" s="256"/>
      <c r="K151" s="256"/>
      <c r="L151" s="256"/>
      <c r="M151" s="256"/>
      <c r="N151" s="256"/>
      <c r="O151" s="654"/>
    </row>
    <row r="152" spans="1:15" ht="13.5" thickBot="1">
      <c r="A152" s="252" t="s">
        <v>493</v>
      </c>
      <c r="B152" s="252"/>
      <c r="C152" s="231">
        <f aca="true" t="shared" si="53" ref="C152:N152">SUM(C4:C151)</f>
        <v>8697960</v>
      </c>
      <c r="D152" s="231">
        <f t="shared" si="53"/>
        <v>6918013</v>
      </c>
      <c r="E152" s="231">
        <f t="shared" si="53"/>
        <v>6765220</v>
      </c>
      <c r="F152" s="231">
        <f t="shared" si="53"/>
        <v>7258070</v>
      </c>
      <c r="G152" s="231">
        <f t="shared" si="53"/>
        <v>8209543</v>
      </c>
      <c r="H152" s="231">
        <f t="shared" si="53"/>
        <v>8554768</v>
      </c>
      <c r="I152" s="244">
        <f t="shared" si="53"/>
        <v>9302218685.337236</v>
      </c>
      <c r="J152" s="231">
        <f>SUM(J4:J151)</f>
        <v>6971776158.246512</v>
      </c>
      <c r="K152" s="231">
        <f>SUM(K4:K151)</f>
        <v>7382599862.758975</v>
      </c>
      <c r="L152" s="231">
        <f t="shared" si="53"/>
        <v>7627716841.876697</v>
      </c>
      <c r="M152" s="231">
        <f t="shared" si="53"/>
        <v>8691440040.992867</v>
      </c>
      <c r="N152" s="231">
        <f t="shared" si="53"/>
        <v>8499018888.15801</v>
      </c>
      <c r="O152" s="654"/>
    </row>
    <row r="153" spans="1:14" ht="12.75">
      <c r="A153" s="217"/>
      <c r="B153" s="230"/>
      <c r="C153" s="213"/>
      <c r="D153" s="213"/>
      <c r="E153" s="213"/>
      <c r="F153" s="213"/>
      <c r="G153" s="213"/>
      <c r="H153" s="213"/>
      <c r="I153" s="213"/>
      <c r="J153" s="213"/>
      <c r="K153" s="213"/>
      <c r="L153" s="213"/>
      <c r="M153" s="213"/>
      <c r="N153" s="213"/>
    </row>
    <row r="154" spans="1:14" ht="13.5" thickBot="1">
      <c r="A154" s="217"/>
      <c r="B154" s="230"/>
      <c r="C154" s="213"/>
      <c r="D154" s="213"/>
      <c r="E154" s="213"/>
      <c r="F154" s="213"/>
      <c r="G154" s="213"/>
      <c r="H154" s="213"/>
      <c r="I154" s="213"/>
      <c r="J154" s="213"/>
      <c r="K154" s="213"/>
      <c r="L154" s="213"/>
      <c r="M154" s="213"/>
      <c r="N154" s="213"/>
    </row>
    <row r="155" spans="1:15" ht="13.5" thickBot="1">
      <c r="A155" s="38"/>
      <c r="B155" s="40"/>
      <c r="C155" s="652" t="s">
        <v>693</v>
      </c>
      <c r="D155" s="653"/>
      <c r="E155" s="653"/>
      <c r="F155" s="653"/>
      <c r="G155" s="653"/>
      <c r="H155" s="653"/>
      <c r="I155" s="652" t="s">
        <v>579</v>
      </c>
      <c r="J155" s="653"/>
      <c r="K155" s="653" t="s">
        <v>579</v>
      </c>
      <c r="L155" s="653"/>
      <c r="M155" s="653"/>
      <c r="N155" s="653"/>
      <c r="O155" s="654"/>
    </row>
    <row r="156" spans="1:15" ht="13.5" thickBot="1">
      <c r="A156" s="356" t="s">
        <v>497</v>
      </c>
      <c r="B156" s="357" t="s">
        <v>359</v>
      </c>
      <c r="C156" s="655">
        <v>2010</v>
      </c>
      <c r="D156" s="361">
        <v>2010</v>
      </c>
      <c r="E156" s="361">
        <v>2009</v>
      </c>
      <c r="F156" s="361">
        <v>2008</v>
      </c>
      <c r="G156" s="656">
        <v>2007</v>
      </c>
      <c r="H156" s="656">
        <v>2006</v>
      </c>
      <c r="I156" s="657">
        <v>2010</v>
      </c>
      <c r="J156" s="361">
        <v>2010</v>
      </c>
      <c r="K156" s="361">
        <v>2009</v>
      </c>
      <c r="L156" s="361">
        <v>2008</v>
      </c>
      <c r="M156" s="270">
        <v>2007</v>
      </c>
      <c r="N156" s="613">
        <v>2006</v>
      </c>
      <c r="O156" s="654"/>
    </row>
    <row r="157" spans="1:15" ht="12.75">
      <c r="A157" s="670" t="s">
        <v>287</v>
      </c>
      <c r="B157" s="267">
        <f>'Ave weights'!Q120</f>
        <v>6</v>
      </c>
      <c r="C157" s="671"/>
      <c r="D157" s="672"/>
      <c r="E157" s="672"/>
      <c r="F157" s="672"/>
      <c r="G157" s="672"/>
      <c r="H157" s="258"/>
      <c r="I157" s="253"/>
      <c r="J157" s="254"/>
      <c r="K157" s="254"/>
      <c r="L157" s="254"/>
      <c r="M157" s="254"/>
      <c r="N157" s="254"/>
      <c r="O157" s="654"/>
    </row>
    <row r="158" spans="1:15" ht="12.75">
      <c r="A158" s="261" t="s">
        <v>288</v>
      </c>
      <c r="B158" s="262">
        <f>'Ave weights'!Q121</f>
        <v>0.290625</v>
      </c>
      <c r="C158" s="236">
        <v>4565</v>
      </c>
      <c r="D158" s="39">
        <v>4174</v>
      </c>
      <c r="E158" s="39">
        <v>5710</v>
      </c>
      <c r="F158" s="39">
        <v>7326</v>
      </c>
      <c r="G158" s="39">
        <v>9653</v>
      </c>
      <c r="H158" s="39">
        <v>8716</v>
      </c>
      <c r="I158" s="236">
        <f aca="true" t="shared" si="54" ref="I158:J164">C158*1000/$B158</f>
        <v>15707526.88172043</v>
      </c>
      <c r="J158" s="39">
        <f t="shared" si="54"/>
        <v>14362150.537634408</v>
      </c>
      <c r="K158" s="39">
        <f aca="true" t="shared" si="55" ref="K158:K164">E158*1000/$B158</f>
        <v>19647311.82795699</v>
      </c>
      <c r="L158" s="39">
        <f aca="true" t="shared" si="56" ref="L158:M164">F158*1000/$B158</f>
        <v>25207741.93548387</v>
      </c>
      <c r="M158" s="39">
        <f t="shared" si="56"/>
        <v>33214623.655913975</v>
      </c>
      <c r="N158" s="39">
        <f aca="true" t="shared" si="57" ref="N158:N164">H158*1000/$B158</f>
        <v>29990537.6344086</v>
      </c>
      <c r="O158" s="654"/>
    </row>
    <row r="159" spans="1:15" ht="12.75">
      <c r="A159" s="261" t="s">
        <v>289</v>
      </c>
      <c r="B159" s="262">
        <f>'Ave weights'!Q122</f>
        <v>3.625</v>
      </c>
      <c r="C159" s="236">
        <v>2484</v>
      </c>
      <c r="D159" s="39">
        <v>2778</v>
      </c>
      <c r="E159" s="39">
        <v>4399</v>
      </c>
      <c r="F159" s="39">
        <v>3534</v>
      </c>
      <c r="G159" s="39">
        <v>3011</v>
      </c>
      <c r="H159" s="39">
        <v>2504</v>
      </c>
      <c r="I159" s="236">
        <f t="shared" si="54"/>
        <v>685241.3793103448</v>
      </c>
      <c r="J159" s="39">
        <f t="shared" si="54"/>
        <v>766344.8275862068</v>
      </c>
      <c r="K159" s="39">
        <f t="shared" si="55"/>
        <v>1213517.2413793104</v>
      </c>
      <c r="L159" s="39">
        <f t="shared" si="56"/>
        <v>974896.551724138</v>
      </c>
      <c r="M159" s="39">
        <f t="shared" si="56"/>
        <v>830620.6896551724</v>
      </c>
      <c r="N159" s="39">
        <f t="shared" si="57"/>
        <v>690758.6206896552</v>
      </c>
      <c r="O159" s="654"/>
    </row>
    <row r="160" spans="1:15" ht="12.75">
      <c r="A160" s="261" t="s">
        <v>290</v>
      </c>
      <c r="B160" s="262">
        <f>'Ave weights'!Q123</f>
        <v>0.3</v>
      </c>
      <c r="C160" s="236">
        <v>765</v>
      </c>
      <c r="D160" s="39">
        <v>938</v>
      </c>
      <c r="E160" s="39">
        <v>1183</v>
      </c>
      <c r="F160" s="39">
        <v>1085</v>
      </c>
      <c r="G160" s="39">
        <v>1337</v>
      </c>
      <c r="H160" s="39">
        <v>893</v>
      </c>
      <c r="I160" s="236">
        <f t="shared" si="54"/>
        <v>2550000</v>
      </c>
      <c r="J160" s="39">
        <f t="shared" si="54"/>
        <v>3126666.666666667</v>
      </c>
      <c r="K160" s="39">
        <f t="shared" si="55"/>
        <v>3943333.3333333335</v>
      </c>
      <c r="L160" s="39">
        <f t="shared" si="56"/>
        <v>3616666.666666667</v>
      </c>
      <c r="M160" s="39">
        <f t="shared" si="56"/>
        <v>4456666.666666667</v>
      </c>
      <c r="N160" s="39">
        <f t="shared" si="57"/>
        <v>2976666.666666667</v>
      </c>
      <c r="O160" s="654"/>
    </row>
    <row r="161" spans="1:15" ht="12.75">
      <c r="A161" s="261" t="s">
        <v>291</v>
      </c>
      <c r="B161" s="262">
        <f>'Ave weights'!Q124</f>
        <v>0.40625</v>
      </c>
      <c r="C161" s="236">
        <v>31771</v>
      </c>
      <c r="D161" s="39">
        <v>35333</v>
      </c>
      <c r="E161" s="39">
        <v>34909</v>
      </c>
      <c r="F161" s="39">
        <v>34352</v>
      </c>
      <c r="G161" s="39">
        <v>34678</v>
      </c>
      <c r="H161" s="39">
        <v>31882</v>
      </c>
      <c r="I161" s="236">
        <f t="shared" si="54"/>
        <v>78205538.46153846</v>
      </c>
      <c r="J161" s="39">
        <f t="shared" si="54"/>
        <v>86973538.46153846</v>
      </c>
      <c r="K161" s="39">
        <f t="shared" si="55"/>
        <v>85929846.15384616</v>
      </c>
      <c r="L161" s="39">
        <f t="shared" si="56"/>
        <v>84558769.23076923</v>
      </c>
      <c r="M161" s="39">
        <f t="shared" si="56"/>
        <v>85361230.76923077</v>
      </c>
      <c r="N161" s="39">
        <f t="shared" si="57"/>
        <v>78478769.23076923</v>
      </c>
      <c r="O161" s="654"/>
    </row>
    <row r="162" spans="1:15" ht="12.75">
      <c r="A162" s="261" t="s">
        <v>292</v>
      </c>
      <c r="B162" s="262">
        <f>'Ave weights'!Q125</f>
        <v>0.28</v>
      </c>
      <c r="C162" s="236">
        <v>4503</v>
      </c>
      <c r="D162" s="39">
        <v>4249</v>
      </c>
      <c r="E162" s="39">
        <v>3853</v>
      </c>
      <c r="F162" s="39">
        <v>3818</v>
      </c>
      <c r="G162" s="39">
        <v>3947</v>
      </c>
      <c r="H162" s="39">
        <v>3802</v>
      </c>
      <c r="I162" s="236">
        <f t="shared" si="54"/>
        <v>16082142.857142856</v>
      </c>
      <c r="J162" s="39">
        <f t="shared" si="54"/>
        <v>15174999.999999998</v>
      </c>
      <c r="K162" s="39">
        <f t="shared" si="55"/>
        <v>13760714.285714284</v>
      </c>
      <c r="L162" s="39">
        <f t="shared" si="56"/>
        <v>13635714.285714284</v>
      </c>
      <c r="M162" s="39">
        <f t="shared" si="56"/>
        <v>14096428.57142857</v>
      </c>
      <c r="N162" s="39">
        <f t="shared" si="57"/>
        <v>13578571.428571427</v>
      </c>
      <c r="O162" s="654"/>
    </row>
    <row r="163" spans="1:15" ht="12.75">
      <c r="A163" s="261" t="s">
        <v>293</v>
      </c>
      <c r="B163" s="262">
        <f>'Ave weights'!Q126</f>
        <v>0.29</v>
      </c>
      <c r="C163" s="236">
        <v>42012</v>
      </c>
      <c r="D163" s="39">
        <v>40776</v>
      </c>
      <c r="E163" s="39">
        <v>50641</v>
      </c>
      <c r="F163" s="39">
        <v>57330</v>
      </c>
      <c r="G163" s="39">
        <v>62823</v>
      </c>
      <c r="H163" s="39">
        <v>59914</v>
      </c>
      <c r="I163" s="236">
        <f t="shared" si="54"/>
        <v>144868965.5172414</v>
      </c>
      <c r="J163" s="39">
        <f t="shared" si="54"/>
        <v>140606896.55172414</v>
      </c>
      <c r="K163" s="39">
        <f t="shared" si="55"/>
        <v>174624137.9310345</v>
      </c>
      <c r="L163" s="39">
        <f t="shared" si="56"/>
        <v>197689655.1724138</v>
      </c>
      <c r="M163" s="39">
        <f t="shared" si="56"/>
        <v>216631034.48275864</v>
      </c>
      <c r="N163" s="39">
        <f t="shared" si="57"/>
        <v>206600000</v>
      </c>
      <c r="O163" s="654"/>
    </row>
    <row r="164" spans="1:15" ht="12.75">
      <c r="A164" s="261" t="s">
        <v>294</v>
      </c>
      <c r="B164" s="262">
        <f>'Ave weights'!Q127</f>
        <v>0.7611458333333333</v>
      </c>
      <c r="C164" s="215">
        <v>349</v>
      </c>
      <c r="D164" s="38">
        <v>643</v>
      </c>
      <c r="E164" s="38">
        <v>442</v>
      </c>
      <c r="F164" s="38">
        <v>327</v>
      </c>
      <c r="G164" s="38">
        <v>399</v>
      </c>
      <c r="H164" s="39">
        <v>745</v>
      </c>
      <c r="I164" s="236">
        <f t="shared" si="54"/>
        <v>458519.2281374025</v>
      </c>
      <c r="J164" s="39">
        <f t="shared" si="54"/>
        <v>844778.9790611742</v>
      </c>
      <c r="K164" s="39">
        <f t="shared" si="55"/>
        <v>580703.4350622691</v>
      </c>
      <c r="L164" s="39">
        <f t="shared" si="56"/>
        <v>429615.4372519502</v>
      </c>
      <c r="M164" s="39">
        <f t="shared" si="56"/>
        <v>524209.66196797596</v>
      </c>
      <c r="N164" s="39">
        <f t="shared" si="57"/>
        <v>978787.464075544</v>
      </c>
      <c r="O164" s="654"/>
    </row>
    <row r="165" spans="1:15" ht="12.75">
      <c r="A165" s="261"/>
      <c r="B165" s="262"/>
      <c r="C165" s="665"/>
      <c r="D165" s="666"/>
      <c r="E165" s="666"/>
      <c r="F165" s="666"/>
      <c r="G165" s="666"/>
      <c r="H165" s="41"/>
      <c r="I165" s="236"/>
      <c r="J165" s="39"/>
      <c r="K165" s="39"/>
      <c r="L165" s="39"/>
      <c r="M165" s="39"/>
      <c r="N165" s="39"/>
      <c r="O165" s="654"/>
    </row>
    <row r="166" spans="1:15" ht="12.75">
      <c r="A166" s="261" t="s">
        <v>295</v>
      </c>
      <c r="B166" s="262">
        <f>'Ave weights'!Q128</f>
        <v>0.4</v>
      </c>
      <c r="C166" s="236">
        <v>3218</v>
      </c>
      <c r="D166" s="39">
        <v>4461</v>
      </c>
      <c r="E166" s="39">
        <v>2880</v>
      </c>
      <c r="F166" s="39">
        <v>2172</v>
      </c>
      <c r="G166" s="39">
        <v>1990</v>
      </c>
      <c r="H166" s="239">
        <v>2188</v>
      </c>
      <c r="I166" s="236">
        <f aca="true" t="shared" si="58" ref="I166:J173">C166*1000/$B166</f>
        <v>8045000</v>
      </c>
      <c r="J166" s="39">
        <f t="shared" si="58"/>
        <v>11152500</v>
      </c>
      <c r="K166" s="39">
        <f aca="true" t="shared" si="59" ref="K166:K173">E166*1000/$B166</f>
        <v>7200000</v>
      </c>
      <c r="L166" s="39">
        <f aca="true" t="shared" si="60" ref="L166:M173">F166*1000/$B166</f>
        <v>5430000</v>
      </c>
      <c r="M166" s="39">
        <f t="shared" si="60"/>
        <v>4975000</v>
      </c>
      <c r="N166" s="39">
        <f aca="true" t="shared" si="61" ref="N166:N173">H166*1000/$B166</f>
        <v>5470000</v>
      </c>
      <c r="O166" s="654"/>
    </row>
    <row r="167" spans="1:15" ht="12.75">
      <c r="A167" s="261" t="s">
        <v>296</v>
      </c>
      <c r="B167" s="262">
        <f>'Ave weights'!Q129</f>
        <v>0.5651666666666667</v>
      </c>
      <c r="C167" s="661">
        <v>197824</v>
      </c>
      <c r="D167" s="662">
        <v>183851</v>
      </c>
      <c r="E167" s="662">
        <v>153927</v>
      </c>
      <c r="F167" s="662">
        <v>155340</v>
      </c>
      <c r="G167" s="662">
        <v>146027</v>
      </c>
      <c r="H167" s="39">
        <v>144853</v>
      </c>
      <c r="I167" s="236">
        <f t="shared" si="58"/>
        <v>350027720.4364494</v>
      </c>
      <c r="J167" s="39">
        <f t="shared" si="58"/>
        <v>325304040.1061633</v>
      </c>
      <c r="K167" s="39">
        <f t="shared" si="59"/>
        <v>272356826.8947213</v>
      </c>
      <c r="L167" s="39">
        <f t="shared" si="60"/>
        <v>274856974.3438513</v>
      </c>
      <c r="M167" s="39">
        <f t="shared" si="60"/>
        <v>258378649.36596873</v>
      </c>
      <c r="N167" s="39">
        <f t="shared" si="61"/>
        <v>256301386.02182245</v>
      </c>
      <c r="O167" s="654"/>
    </row>
    <row r="168" spans="1:15" ht="12.75">
      <c r="A168" s="261" t="s">
        <v>297</v>
      </c>
      <c r="B168" s="262">
        <f>'Ave weights'!Q130</f>
        <v>0.4465</v>
      </c>
      <c r="C168" s="661">
        <v>1341</v>
      </c>
      <c r="D168" s="662">
        <v>1182</v>
      </c>
      <c r="E168" s="662">
        <v>1757</v>
      </c>
      <c r="F168" s="662">
        <v>2011</v>
      </c>
      <c r="G168" s="662">
        <v>2135</v>
      </c>
      <c r="H168" s="39">
        <v>3494</v>
      </c>
      <c r="I168" s="236">
        <f t="shared" si="58"/>
        <v>3003359.462486002</v>
      </c>
      <c r="J168" s="39">
        <f t="shared" si="58"/>
        <v>2647256.438969765</v>
      </c>
      <c r="K168" s="39">
        <f t="shared" si="59"/>
        <v>3935050.39193729</v>
      </c>
      <c r="L168" s="39">
        <f t="shared" si="60"/>
        <v>4503919.372900336</v>
      </c>
      <c r="M168" s="39">
        <f t="shared" si="60"/>
        <v>4781634.938409855</v>
      </c>
      <c r="N168" s="39">
        <f t="shared" si="61"/>
        <v>7825307.950727884</v>
      </c>
      <c r="O168" s="654"/>
    </row>
    <row r="169" spans="1:15" ht="12.75">
      <c r="A169" s="261" t="s">
        <v>298</v>
      </c>
      <c r="B169" s="262">
        <f>'Ave weights'!Q132</f>
        <v>2.2375</v>
      </c>
      <c r="C169" s="661">
        <v>67443</v>
      </c>
      <c r="D169" s="662">
        <v>65336</v>
      </c>
      <c r="E169" s="662">
        <v>63363</v>
      </c>
      <c r="F169" s="662">
        <v>49915</v>
      </c>
      <c r="G169" s="662">
        <v>57003</v>
      </c>
      <c r="H169" s="39">
        <v>88886</v>
      </c>
      <c r="I169" s="236">
        <f t="shared" si="58"/>
        <v>30142122.905027937</v>
      </c>
      <c r="J169" s="39">
        <f t="shared" si="58"/>
        <v>29200446.927374303</v>
      </c>
      <c r="K169" s="39">
        <f t="shared" si="59"/>
        <v>28318659.217877097</v>
      </c>
      <c r="L169" s="39">
        <f t="shared" si="60"/>
        <v>22308379.888268158</v>
      </c>
      <c r="M169" s="39">
        <f t="shared" si="60"/>
        <v>25476201.117318437</v>
      </c>
      <c r="N169" s="39">
        <f t="shared" si="61"/>
        <v>39725586.59217878</v>
      </c>
      <c r="O169" s="654"/>
    </row>
    <row r="170" spans="1:15" ht="12.75">
      <c r="A170" s="261" t="s">
        <v>299</v>
      </c>
      <c r="B170" s="262">
        <f>'Ave weights'!Q133</f>
        <v>1.275</v>
      </c>
      <c r="C170" s="661">
        <v>11475</v>
      </c>
      <c r="D170" s="662">
        <v>10880</v>
      </c>
      <c r="E170" s="662">
        <v>8775</v>
      </c>
      <c r="F170" s="662">
        <v>8637</v>
      </c>
      <c r="G170" s="662">
        <v>8583</v>
      </c>
      <c r="H170" s="39">
        <v>6695</v>
      </c>
      <c r="I170" s="236">
        <f t="shared" si="58"/>
        <v>9000000</v>
      </c>
      <c r="J170" s="39">
        <f t="shared" si="58"/>
        <v>8533333.333333334</v>
      </c>
      <c r="K170" s="39">
        <f t="shared" si="59"/>
        <v>6882352.941176471</v>
      </c>
      <c r="L170" s="39">
        <f t="shared" si="60"/>
        <v>6774117.647058824</v>
      </c>
      <c r="M170" s="39">
        <f t="shared" si="60"/>
        <v>6731764.705882354</v>
      </c>
      <c r="N170" s="39">
        <f t="shared" si="61"/>
        <v>5250980.392156863</v>
      </c>
      <c r="O170" s="654"/>
    </row>
    <row r="171" spans="1:15" ht="12.75">
      <c r="A171" s="261" t="s">
        <v>300</v>
      </c>
      <c r="B171" s="262">
        <f>'Ave weights'!Q134</f>
        <v>14.375</v>
      </c>
      <c r="C171" s="661">
        <v>17003</v>
      </c>
      <c r="D171" s="662">
        <v>24042</v>
      </c>
      <c r="E171" s="662">
        <v>22391</v>
      </c>
      <c r="F171" s="662">
        <v>27208</v>
      </c>
      <c r="G171" s="662">
        <v>25939</v>
      </c>
      <c r="H171" s="39">
        <v>21641</v>
      </c>
      <c r="I171" s="236">
        <f t="shared" si="58"/>
        <v>1182817.391304348</v>
      </c>
      <c r="J171" s="39">
        <f t="shared" si="58"/>
        <v>1672486.956521739</v>
      </c>
      <c r="K171" s="39">
        <f t="shared" si="59"/>
        <v>1557634.7826086956</v>
      </c>
      <c r="L171" s="39">
        <f t="shared" si="60"/>
        <v>1892730.4347826086</v>
      </c>
      <c r="M171" s="39">
        <f t="shared" si="60"/>
        <v>1804452.1739130435</v>
      </c>
      <c r="N171" s="39">
        <f t="shared" si="61"/>
        <v>1505460.8695652173</v>
      </c>
      <c r="O171" s="654"/>
    </row>
    <row r="172" spans="1:15" ht="12.75">
      <c r="A172" s="261" t="s">
        <v>302</v>
      </c>
      <c r="B172" s="262">
        <f>'Ave weights'!Q135</f>
        <v>2.55</v>
      </c>
      <c r="C172" s="661">
        <v>54050</v>
      </c>
      <c r="D172" s="662">
        <v>47839</v>
      </c>
      <c r="E172" s="662">
        <v>58089</v>
      </c>
      <c r="F172" s="662">
        <v>62442</v>
      </c>
      <c r="G172" s="662">
        <v>34125</v>
      </c>
      <c r="H172" s="39">
        <v>38019</v>
      </c>
      <c r="I172" s="236">
        <f t="shared" si="58"/>
        <v>21196078.43137255</v>
      </c>
      <c r="J172" s="39">
        <f t="shared" si="58"/>
        <v>18760392.156862747</v>
      </c>
      <c r="K172" s="39">
        <f t="shared" si="59"/>
        <v>22780000</v>
      </c>
      <c r="L172" s="39">
        <f t="shared" si="60"/>
        <v>24487058.823529415</v>
      </c>
      <c r="M172" s="39">
        <f t="shared" si="60"/>
        <v>13382352.941176472</v>
      </c>
      <c r="N172" s="39">
        <f t="shared" si="61"/>
        <v>14909411.764705883</v>
      </c>
      <c r="O172" s="654"/>
    </row>
    <row r="173" spans="1:15" ht="12.75">
      <c r="A173" s="261" t="s">
        <v>301</v>
      </c>
      <c r="B173" s="262">
        <f>'Ave weights'!Q136</f>
        <v>4.25</v>
      </c>
      <c r="C173" s="661">
        <v>5967</v>
      </c>
      <c r="D173" s="662">
        <v>2634</v>
      </c>
      <c r="E173" s="662">
        <v>3441</v>
      </c>
      <c r="F173" s="662">
        <v>3636</v>
      </c>
      <c r="G173" s="662">
        <v>4158</v>
      </c>
      <c r="H173" s="39">
        <v>4502</v>
      </c>
      <c r="I173" s="236">
        <f t="shared" si="58"/>
        <v>1404000</v>
      </c>
      <c r="J173" s="39">
        <f t="shared" si="58"/>
        <v>619764.7058823529</v>
      </c>
      <c r="K173" s="39">
        <f t="shared" si="59"/>
        <v>809647.0588235294</v>
      </c>
      <c r="L173" s="39">
        <f t="shared" si="60"/>
        <v>855529.4117647059</v>
      </c>
      <c r="M173" s="39">
        <f t="shared" si="60"/>
        <v>978352.9411764706</v>
      </c>
      <c r="N173" s="39">
        <f t="shared" si="61"/>
        <v>1059294.1176470588</v>
      </c>
      <c r="O173" s="654"/>
    </row>
    <row r="174" spans="1:15" ht="12.75">
      <c r="A174" s="261"/>
      <c r="B174" s="262"/>
      <c r="C174" s="661"/>
      <c r="D174" s="662"/>
      <c r="E174" s="662"/>
      <c r="F174" s="662"/>
      <c r="G174" s="662"/>
      <c r="H174" s="41"/>
      <c r="I174" s="236"/>
      <c r="J174" s="39"/>
      <c r="K174" s="39"/>
      <c r="L174" s="39"/>
      <c r="M174" s="39"/>
      <c r="N174" s="39"/>
      <c r="O174" s="654"/>
    </row>
    <row r="175" spans="1:15" ht="12.75">
      <c r="A175" s="261" t="s">
        <v>303</v>
      </c>
      <c r="B175" s="262">
        <f>'Ave weights'!Q137</f>
        <v>3.254020833333333</v>
      </c>
      <c r="C175" s="661">
        <v>14049</v>
      </c>
      <c r="D175" s="662">
        <v>13840</v>
      </c>
      <c r="E175" s="662">
        <v>14474</v>
      </c>
      <c r="F175" s="662">
        <v>15995</v>
      </c>
      <c r="G175" s="662">
        <v>15989</v>
      </c>
      <c r="H175" s="39">
        <v>14408</v>
      </c>
      <c r="I175" s="236">
        <f aca="true" t="shared" si="62" ref="I175:N175">C175*1000/$B175</f>
        <v>4317427.797660586</v>
      </c>
      <c r="J175" s="39">
        <f t="shared" si="62"/>
        <v>4253199.567202115</v>
      </c>
      <c r="K175" s="39">
        <f t="shared" si="62"/>
        <v>4448035.443329727</v>
      </c>
      <c r="L175" s="39">
        <f t="shared" si="62"/>
        <v>4915457.1587715205</v>
      </c>
      <c r="M175" s="39">
        <f t="shared" si="62"/>
        <v>4913613.286126779</v>
      </c>
      <c r="N175" s="39">
        <f t="shared" si="62"/>
        <v>4427752.844237578</v>
      </c>
      <c r="O175" s="654"/>
    </row>
    <row r="176" spans="1:15" ht="12.75">
      <c r="A176" s="261"/>
      <c r="B176" s="262"/>
      <c r="C176" s="665"/>
      <c r="D176" s="666"/>
      <c r="E176" s="666"/>
      <c r="F176" s="666"/>
      <c r="G176" s="666"/>
      <c r="H176" s="39"/>
      <c r="I176" s="236"/>
      <c r="J176" s="39"/>
      <c r="K176" s="39"/>
      <c r="L176" s="39"/>
      <c r="M176" s="39"/>
      <c r="N176" s="39"/>
      <c r="O176" s="654"/>
    </row>
    <row r="177" spans="1:15" ht="12.75">
      <c r="A177" s="261"/>
      <c r="B177" s="262"/>
      <c r="C177" s="665"/>
      <c r="D177" s="666"/>
      <c r="E177" s="666"/>
      <c r="F177" s="666"/>
      <c r="G177" s="666"/>
      <c r="H177" s="39"/>
      <c r="I177" s="236"/>
      <c r="J177" s="39"/>
      <c r="K177" s="39"/>
      <c r="L177" s="39"/>
      <c r="M177" s="39"/>
      <c r="N177" s="39"/>
      <c r="O177" s="654"/>
    </row>
    <row r="178" spans="1:15" ht="12.75">
      <c r="A178" s="261"/>
      <c r="B178" s="262"/>
      <c r="C178" s="665"/>
      <c r="D178" s="666"/>
      <c r="E178" s="666"/>
      <c r="F178" s="666"/>
      <c r="G178" s="666"/>
      <c r="H178" s="39"/>
      <c r="I178" s="236"/>
      <c r="J178" s="39"/>
      <c r="K178" s="39"/>
      <c r="L178" s="39"/>
      <c r="M178" s="39"/>
      <c r="N178" s="39"/>
      <c r="O178" s="654"/>
    </row>
    <row r="179" spans="1:15" ht="12.75">
      <c r="A179" s="261"/>
      <c r="B179" s="262"/>
      <c r="C179" s="665"/>
      <c r="D179" s="666"/>
      <c r="E179" s="666"/>
      <c r="F179" s="666"/>
      <c r="G179" s="666"/>
      <c r="H179" s="39"/>
      <c r="I179" s="236"/>
      <c r="J179" s="39"/>
      <c r="K179" s="39"/>
      <c r="L179" s="39"/>
      <c r="M179" s="39"/>
      <c r="N179" s="39"/>
      <c r="O179" s="654"/>
    </row>
    <row r="180" spans="1:15" ht="12.75">
      <c r="A180" s="261"/>
      <c r="B180" s="262"/>
      <c r="C180" s="665"/>
      <c r="D180" s="666"/>
      <c r="E180" s="666"/>
      <c r="F180" s="666"/>
      <c r="G180" s="666"/>
      <c r="H180" s="39"/>
      <c r="I180" s="236"/>
      <c r="J180" s="39"/>
      <c r="K180" s="39"/>
      <c r="L180" s="39"/>
      <c r="M180" s="39"/>
      <c r="N180" s="39"/>
      <c r="O180" s="654"/>
    </row>
    <row r="181" spans="1:15" ht="12.75">
      <c r="A181" s="261"/>
      <c r="B181" s="262"/>
      <c r="C181" s="665"/>
      <c r="D181" s="666"/>
      <c r="E181" s="666"/>
      <c r="F181" s="666"/>
      <c r="G181" s="666"/>
      <c r="H181" s="39"/>
      <c r="I181" s="236"/>
      <c r="J181" s="39"/>
      <c r="K181" s="39"/>
      <c r="L181" s="39"/>
      <c r="M181" s="39"/>
      <c r="N181" s="39"/>
      <c r="O181" s="654"/>
    </row>
    <row r="182" spans="1:15" ht="12.75">
      <c r="A182" s="261" t="s">
        <v>304</v>
      </c>
      <c r="B182" s="262">
        <f>'Ave weights'!Q140</f>
        <v>0.3125</v>
      </c>
      <c r="C182" s="661">
        <v>9669</v>
      </c>
      <c r="D182" s="662">
        <v>14180</v>
      </c>
      <c r="E182" s="662">
        <v>18818</v>
      </c>
      <c r="F182" s="662">
        <v>15502</v>
      </c>
      <c r="G182" s="662">
        <v>15969</v>
      </c>
      <c r="H182" s="39">
        <v>1604</v>
      </c>
      <c r="I182" s="236">
        <f aca="true" t="shared" si="63" ref="I182:N182">C182*1000/$B182</f>
        <v>30940800</v>
      </c>
      <c r="J182" s="39">
        <f t="shared" si="63"/>
        <v>45376000</v>
      </c>
      <c r="K182" s="39">
        <f t="shared" si="63"/>
        <v>60217600</v>
      </c>
      <c r="L182" s="39">
        <f t="shared" si="63"/>
        <v>49606400</v>
      </c>
      <c r="M182" s="39">
        <f t="shared" si="63"/>
        <v>51100800</v>
      </c>
      <c r="N182" s="39">
        <f t="shared" si="63"/>
        <v>5132800</v>
      </c>
      <c r="O182" s="654"/>
    </row>
    <row r="183" spans="1:15" ht="12.75">
      <c r="A183" s="261"/>
      <c r="B183" s="262"/>
      <c r="C183" s="215"/>
      <c r="D183" s="38"/>
      <c r="E183" s="38"/>
      <c r="F183" s="38"/>
      <c r="G183" s="38"/>
      <c r="H183" s="39"/>
      <c r="I183" s="236"/>
      <c r="J183" s="39"/>
      <c r="K183" s="39"/>
      <c r="L183" s="39"/>
      <c r="M183" s="39"/>
      <c r="N183" s="39"/>
      <c r="O183" s="654"/>
    </row>
    <row r="184" spans="1:15" ht="12.75">
      <c r="A184" s="261" t="s">
        <v>305</v>
      </c>
      <c r="B184" s="262">
        <f>'Ave weights'!Q142</f>
        <v>3.5</v>
      </c>
      <c r="C184" s="236">
        <v>1942</v>
      </c>
      <c r="D184" s="39">
        <v>1343</v>
      </c>
      <c r="E184" s="39">
        <v>2282</v>
      </c>
      <c r="F184" s="39">
        <v>1736</v>
      </c>
      <c r="G184" s="39">
        <v>2131</v>
      </c>
      <c r="H184" s="39">
        <v>1520</v>
      </c>
      <c r="I184" s="236">
        <f aca="true" t="shared" si="64" ref="I184:K186">C184*1000/$B184</f>
        <v>554857.1428571428</v>
      </c>
      <c r="J184" s="39">
        <f t="shared" si="64"/>
        <v>383714.28571428574</v>
      </c>
      <c r="K184" s="39">
        <f t="shared" si="64"/>
        <v>652000</v>
      </c>
      <c r="L184" s="39">
        <f aca="true" t="shared" si="65" ref="L184:M186">F184*1000/$B184</f>
        <v>496000</v>
      </c>
      <c r="M184" s="39">
        <f t="shared" si="65"/>
        <v>608857.1428571428</v>
      </c>
      <c r="N184" s="39">
        <f>H184*1000/$B184</f>
        <v>434285.71428571426</v>
      </c>
      <c r="O184" s="654"/>
    </row>
    <row r="185" spans="1:15" ht="12.75">
      <c r="A185" s="261" t="s">
        <v>306</v>
      </c>
      <c r="B185" s="262">
        <f>'Ave weights'!Q143</f>
        <v>1.5</v>
      </c>
      <c r="C185" s="661">
        <v>126318</v>
      </c>
      <c r="D185" s="662">
        <v>115433</v>
      </c>
      <c r="E185" s="662">
        <v>96890</v>
      </c>
      <c r="F185" s="662">
        <v>81835</v>
      </c>
      <c r="G185" s="662">
        <v>81303</v>
      </c>
      <c r="H185" s="39">
        <v>92515</v>
      </c>
      <c r="I185" s="236">
        <f t="shared" si="64"/>
        <v>84212000</v>
      </c>
      <c r="J185" s="39">
        <f t="shared" si="64"/>
        <v>76955333.33333333</v>
      </c>
      <c r="K185" s="39">
        <f t="shared" si="64"/>
        <v>64593333.333333336</v>
      </c>
      <c r="L185" s="39">
        <f t="shared" si="65"/>
        <v>54556666.666666664</v>
      </c>
      <c r="M185" s="39">
        <f t="shared" si="65"/>
        <v>54202000</v>
      </c>
      <c r="N185" s="39">
        <f>H185*1000/$B185</f>
        <v>61676666.666666664</v>
      </c>
      <c r="O185" s="654"/>
    </row>
    <row r="186" spans="1:15" ht="12.75">
      <c r="A186" s="261" t="s">
        <v>307</v>
      </c>
      <c r="B186" s="262">
        <f>'Ave weights'!Q144</f>
        <v>3</v>
      </c>
      <c r="C186" s="661">
        <v>6355</v>
      </c>
      <c r="D186" s="662">
        <v>6371</v>
      </c>
      <c r="E186" s="662">
        <v>4729</v>
      </c>
      <c r="F186" s="662">
        <v>4196</v>
      </c>
      <c r="G186" s="662">
        <v>4426</v>
      </c>
      <c r="H186" s="39">
        <v>5605</v>
      </c>
      <c r="I186" s="236">
        <f t="shared" si="64"/>
        <v>2118333.3333333335</v>
      </c>
      <c r="J186" s="39">
        <f t="shared" si="64"/>
        <v>2123666.6666666665</v>
      </c>
      <c r="K186" s="39">
        <f t="shared" si="64"/>
        <v>1576333.3333333333</v>
      </c>
      <c r="L186" s="39">
        <f t="shared" si="65"/>
        <v>1398666.6666666667</v>
      </c>
      <c r="M186" s="39">
        <f t="shared" si="65"/>
        <v>1475333.3333333333</v>
      </c>
      <c r="N186" s="39">
        <f>H186*1000/$B186</f>
        <v>1868333.3333333333</v>
      </c>
      <c r="O186" s="654"/>
    </row>
    <row r="187" spans="1:15" ht="12.75">
      <c r="A187" s="261"/>
      <c r="B187" s="262"/>
      <c r="C187" s="215"/>
      <c r="D187" s="38"/>
      <c r="E187" s="38"/>
      <c r="F187" s="38"/>
      <c r="G187" s="38"/>
      <c r="H187" s="39"/>
      <c r="I187" s="236"/>
      <c r="J187" s="39"/>
      <c r="K187" s="39"/>
      <c r="L187" s="39"/>
      <c r="M187" s="39"/>
      <c r="N187" s="39"/>
      <c r="O187" s="654"/>
    </row>
    <row r="188" spans="1:15" ht="12.75">
      <c r="A188" s="261"/>
      <c r="B188" s="262"/>
      <c r="C188" s="215"/>
      <c r="D188" s="38"/>
      <c r="E188" s="38"/>
      <c r="F188" s="38"/>
      <c r="G188" s="38"/>
      <c r="H188" s="41"/>
      <c r="I188" s="236"/>
      <c r="J188" s="39"/>
      <c r="K188" s="39"/>
      <c r="L188" s="39"/>
      <c r="M188" s="39"/>
      <c r="N188" s="39"/>
      <c r="O188" s="654"/>
    </row>
    <row r="189" spans="1:15" ht="12.75">
      <c r="A189" s="261"/>
      <c r="B189" s="262"/>
      <c r="C189" s="215"/>
      <c r="D189" s="38"/>
      <c r="E189" s="38"/>
      <c r="F189" s="38"/>
      <c r="G189" s="38"/>
      <c r="H189" s="41"/>
      <c r="I189" s="236"/>
      <c r="J189" s="39"/>
      <c r="K189" s="39"/>
      <c r="L189" s="39"/>
      <c r="M189" s="39"/>
      <c r="N189" s="39"/>
      <c r="O189" s="654"/>
    </row>
    <row r="190" spans="1:15" ht="12.75">
      <c r="A190" s="261"/>
      <c r="B190" s="262"/>
      <c r="C190" s="215"/>
      <c r="D190" s="38"/>
      <c r="E190" s="38"/>
      <c r="F190" s="38"/>
      <c r="G190" s="38"/>
      <c r="H190" s="39"/>
      <c r="I190" s="236"/>
      <c r="J190" s="39"/>
      <c r="K190" s="39"/>
      <c r="L190" s="39"/>
      <c r="M190" s="39"/>
      <c r="N190" s="39"/>
      <c r="O190" s="654"/>
    </row>
    <row r="191" spans="1:15" ht="12.75">
      <c r="A191" s="261" t="s">
        <v>308</v>
      </c>
      <c r="B191" s="262">
        <f>'Ave weights'!Q147</f>
        <v>0.02</v>
      </c>
      <c r="C191" s="236">
        <v>4163</v>
      </c>
      <c r="D191" s="39">
        <v>6236</v>
      </c>
      <c r="E191" s="39">
        <v>5387</v>
      </c>
      <c r="F191" s="39">
        <v>3774</v>
      </c>
      <c r="G191" s="39">
        <v>3442</v>
      </c>
      <c r="H191" s="39">
        <v>3460</v>
      </c>
      <c r="I191" s="536">
        <f aca="true" t="shared" si="66" ref="I191:N191">C191*1000/$B191</f>
        <v>208150000</v>
      </c>
      <c r="J191" s="39">
        <f t="shared" si="66"/>
        <v>311800000</v>
      </c>
      <c r="K191" s="39">
        <f t="shared" si="66"/>
        <v>269350000</v>
      </c>
      <c r="L191" s="39">
        <f t="shared" si="66"/>
        <v>188700000</v>
      </c>
      <c r="M191" s="39">
        <f t="shared" si="66"/>
        <v>172100000</v>
      </c>
      <c r="N191" s="39">
        <f t="shared" si="66"/>
        <v>173000000</v>
      </c>
      <c r="O191" s="654"/>
    </row>
    <row r="192" spans="1:15" ht="12.75">
      <c r="A192" s="261"/>
      <c r="B192" s="262">
        <f>'Ave weights'!Q148</f>
        <v>25.960000000000004</v>
      </c>
      <c r="C192" s="215"/>
      <c r="D192" s="38"/>
      <c r="E192" s="38"/>
      <c r="F192" s="38"/>
      <c r="G192" s="38"/>
      <c r="H192" s="39"/>
      <c r="I192" s="236"/>
      <c r="J192" s="39"/>
      <c r="K192" s="39"/>
      <c r="L192" s="39"/>
      <c r="M192" s="39"/>
      <c r="N192" s="39"/>
      <c r="O192" s="654"/>
    </row>
    <row r="193" spans="1:15" ht="12.75">
      <c r="A193" s="261" t="s">
        <v>309</v>
      </c>
      <c r="B193" s="262">
        <f>'Ave weights'!Q149</f>
        <v>0.024043761022927688</v>
      </c>
      <c r="C193" s="236">
        <v>28504</v>
      </c>
      <c r="D193" s="39">
        <v>28080</v>
      </c>
      <c r="E193" s="39">
        <v>35571</v>
      </c>
      <c r="F193" s="39">
        <v>30162</v>
      </c>
      <c r="G193" s="39">
        <v>37755</v>
      </c>
      <c r="H193" s="39">
        <v>27344</v>
      </c>
      <c r="I193" s="236">
        <f aca="true" t="shared" si="67" ref="I193:K195">C193*1000/$B193</f>
        <v>1185505045.2722063</v>
      </c>
      <c r="J193" s="39">
        <f t="shared" si="67"/>
        <v>1167870532.9512894</v>
      </c>
      <c r="K193" s="39">
        <f t="shared" si="67"/>
        <v>1479427447.56447</v>
      </c>
      <c r="L193" s="39">
        <f aca="true" t="shared" si="68" ref="L193:M195">F193*1000/$B193</f>
        <v>1254462642.9799428</v>
      </c>
      <c r="M193" s="39">
        <f t="shared" si="68"/>
        <v>1570261822.3495703</v>
      </c>
      <c r="N193" s="39">
        <f>H193*1000/$B193</f>
        <v>1137259681.3753583</v>
      </c>
      <c r="O193" s="654"/>
    </row>
    <row r="194" spans="1:15" ht="12.75">
      <c r="A194" s="261" t="s">
        <v>310</v>
      </c>
      <c r="B194" s="262">
        <f>'Ave weights'!Q150</f>
        <v>0.012261904761904764</v>
      </c>
      <c r="C194" s="215">
        <v>160</v>
      </c>
      <c r="D194" s="38">
        <v>130</v>
      </c>
      <c r="E194" s="38">
        <v>275</v>
      </c>
      <c r="F194" s="38">
        <v>131</v>
      </c>
      <c r="G194" s="38">
        <v>184</v>
      </c>
      <c r="H194" s="39">
        <v>93</v>
      </c>
      <c r="I194" s="236">
        <f t="shared" si="67"/>
        <v>13048543.689320385</v>
      </c>
      <c r="J194" s="39">
        <f t="shared" si="67"/>
        <v>10601941.747572813</v>
      </c>
      <c r="K194" s="39">
        <f t="shared" si="67"/>
        <v>22427184.466019414</v>
      </c>
      <c r="L194" s="39">
        <f t="shared" si="68"/>
        <v>10683495.145631066</v>
      </c>
      <c r="M194" s="39">
        <f t="shared" si="68"/>
        <v>15005825.242718445</v>
      </c>
      <c r="N194" s="39">
        <f>H194*1000/$B194</f>
        <v>7584466.019417475</v>
      </c>
      <c r="O194" s="654"/>
    </row>
    <row r="195" spans="1:15" ht="12.75">
      <c r="A195" s="261" t="s">
        <v>312</v>
      </c>
      <c r="B195" s="262">
        <f>'Ave weights'!Q152</f>
        <v>0.05613392857142857</v>
      </c>
      <c r="C195" s="236">
        <v>59117</v>
      </c>
      <c r="D195" s="39">
        <v>57454</v>
      </c>
      <c r="E195" s="39">
        <v>58000</v>
      </c>
      <c r="F195" s="39">
        <v>53527</v>
      </c>
      <c r="G195" s="39">
        <v>58559</v>
      </c>
      <c r="H195" s="39">
        <v>59006</v>
      </c>
      <c r="I195" s="236">
        <f t="shared" si="67"/>
        <v>1053142039.1283602</v>
      </c>
      <c r="J195" s="39">
        <f t="shared" si="67"/>
        <v>1023516462.5417528</v>
      </c>
      <c r="K195" s="39">
        <f t="shared" si="67"/>
        <v>1033243200.2544934</v>
      </c>
      <c r="L195" s="39">
        <f t="shared" si="68"/>
        <v>953558772.0693494</v>
      </c>
      <c r="M195" s="39">
        <f t="shared" si="68"/>
        <v>1043201526.9603945</v>
      </c>
      <c r="N195" s="39">
        <f>H195*1000/$B195</f>
        <v>1051164625.4175283</v>
      </c>
      <c r="O195" s="654"/>
    </row>
    <row r="196" spans="1:15" ht="12.75">
      <c r="A196" s="261"/>
      <c r="B196" s="262"/>
      <c r="C196" s="215"/>
      <c r="D196" s="38"/>
      <c r="E196" s="38"/>
      <c r="F196" s="38"/>
      <c r="G196" s="38"/>
      <c r="H196" s="41"/>
      <c r="I196" s="236"/>
      <c r="J196" s="39"/>
      <c r="K196" s="39"/>
      <c r="L196" s="39"/>
      <c r="M196" s="39"/>
      <c r="N196" s="39"/>
      <c r="O196" s="654"/>
    </row>
    <row r="197" spans="1:15" ht="12.75">
      <c r="A197" s="261" t="s">
        <v>323</v>
      </c>
      <c r="B197" s="262">
        <f>'Ave weights'!Q153</f>
        <v>0.35</v>
      </c>
      <c r="C197" s="236">
        <v>14671</v>
      </c>
      <c r="D197" s="39">
        <v>14162</v>
      </c>
      <c r="E197" s="39">
        <v>16678</v>
      </c>
      <c r="F197" s="39">
        <v>14800</v>
      </c>
      <c r="G197" s="39">
        <v>15340</v>
      </c>
      <c r="H197" s="39">
        <v>15686</v>
      </c>
      <c r="I197" s="236">
        <f aca="true" t="shared" si="69" ref="I197:J202">C197*1000/$B197</f>
        <v>41917142.85714286</v>
      </c>
      <c r="J197" s="39">
        <f t="shared" si="69"/>
        <v>40462857.14285714</v>
      </c>
      <c r="K197" s="39">
        <f aca="true" t="shared" si="70" ref="K197:K202">E197*1000/$B197</f>
        <v>47651428.571428575</v>
      </c>
      <c r="L197" s="39">
        <f aca="true" t="shared" si="71" ref="L197:M202">F197*1000/$B197</f>
        <v>42285714.28571429</v>
      </c>
      <c r="M197" s="39">
        <f t="shared" si="71"/>
        <v>43828571.42857143</v>
      </c>
      <c r="N197" s="39">
        <f aca="true" t="shared" si="72" ref="N197:N202">H197*1000/$B197</f>
        <v>44817142.85714286</v>
      </c>
      <c r="O197" s="654"/>
    </row>
    <row r="198" spans="1:15" ht="12.75">
      <c r="A198" s="261" t="s">
        <v>313</v>
      </c>
      <c r="B198" s="262">
        <f>'Ave weights'!Q154</f>
        <v>0.05511463844797178</v>
      </c>
      <c r="C198" s="661">
        <v>11481</v>
      </c>
      <c r="D198" s="662">
        <v>13355</v>
      </c>
      <c r="E198" s="662">
        <v>5173</v>
      </c>
      <c r="F198" s="662">
        <v>9032</v>
      </c>
      <c r="G198" s="662">
        <v>8316</v>
      </c>
      <c r="H198" s="39">
        <v>4535</v>
      </c>
      <c r="I198" s="236">
        <f t="shared" si="69"/>
        <v>208311264</v>
      </c>
      <c r="J198" s="39">
        <f t="shared" si="69"/>
        <v>242313120</v>
      </c>
      <c r="K198" s="39">
        <f t="shared" si="70"/>
        <v>93858912</v>
      </c>
      <c r="L198" s="39">
        <f t="shared" si="71"/>
        <v>163876608</v>
      </c>
      <c r="M198" s="39">
        <f t="shared" si="71"/>
        <v>150885504</v>
      </c>
      <c r="N198" s="39">
        <f t="shared" si="72"/>
        <v>82283040</v>
      </c>
      <c r="O198" s="654"/>
    </row>
    <row r="199" spans="1:15" ht="12.75">
      <c r="A199" s="261" t="s">
        <v>314</v>
      </c>
      <c r="B199" s="262">
        <f>'Ave weights'!Q155</f>
        <v>0.05511463844797178</v>
      </c>
      <c r="C199" s="661">
        <v>22198</v>
      </c>
      <c r="D199" s="662">
        <v>22571</v>
      </c>
      <c r="E199" s="662">
        <v>20827</v>
      </c>
      <c r="F199" s="662">
        <v>22963</v>
      </c>
      <c r="G199" s="662">
        <v>21141</v>
      </c>
      <c r="H199" s="39">
        <v>21102</v>
      </c>
      <c r="I199" s="236">
        <f t="shared" si="69"/>
        <v>402760512</v>
      </c>
      <c r="J199" s="39">
        <f t="shared" si="69"/>
        <v>409528224</v>
      </c>
      <c r="K199" s="39">
        <f t="shared" si="70"/>
        <v>377885088</v>
      </c>
      <c r="L199" s="39">
        <f t="shared" si="71"/>
        <v>416640672</v>
      </c>
      <c r="M199" s="39">
        <f t="shared" si="71"/>
        <v>383582304</v>
      </c>
      <c r="N199" s="39">
        <f t="shared" si="72"/>
        <v>382874688</v>
      </c>
      <c r="O199" s="654"/>
    </row>
    <row r="200" spans="1:15" ht="12.75">
      <c r="A200" s="261" t="s">
        <v>315</v>
      </c>
      <c r="B200" s="262">
        <f>'Ave weights'!Q156</f>
        <v>0.05511463844797178</v>
      </c>
      <c r="C200" s="661">
        <v>211998</v>
      </c>
      <c r="D200" s="662">
        <v>176421</v>
      </c>
      <c r="E200" s="662">
        <v>241003</v>
      </c>
      <c r="F200" s="662">
        <v>188295</v>
      </c>
      <c r="G200" s="662">
        <v>225154</v>
      </c>
      <c r="H200" s="39">
        <v>245805</v>
      </c>
      <c r="I200" s="536">
        <f t="shared" si="69"/>
        <v>3846491712</v>
      </c>
      <c r="J200" s="39">
        <f t="shared" si="69"/>
        <v>3200982624</v>
      </c>
      <c r="K200" s="39">
        <f t="shared" si="70"/>
        <v>4372758432</v>
      </c>
      <c r="L200" s="39">
        <f t="shared" si="71"/>
        <v>3416424480</v>
      </c>
      <c r="M200" s="39">
        <f t="shared" si="71"/>
        <v>4085194176</v>
      </c>
      <c r="N200" s="39">
        <f t="shared" si="72"/>
        <v>4459885920</v>
      </c>
      <c r="O200" s="654"/>
    </row>
    <row r="201" spans="1:15" ht="12.75">
      <c r="A201" s="261" t="s">
        <v>316</v>
      </c>
      <c r="B201" s="262">
        <f>'Ave weights'!Q157</f>
        <v>0.05511463844797178</v>
      </c>
      <c r="C201" s="661">
        <v>66981</v>
      </c>
      <c r="D201" s="662">
        <v>46625</v>
      </c>
      <c r="E201" s="662">
        <v>34044</v>
      </c>
      <c r="F201" s="662">
        <v>36305</v>
      </c>
      <c r="G201" s="662">
        <v>26251</v>
      </c>
      <c r="H201" s="39">
        <v>20794</v>
      </c>
      <c r="I201" s="536">
        <f t="shared" si="69"/>
        <v>1215303264</v>
      </c>
      <c r="J201" s="39">
        <f t="shared" si="69"/>
        <v>845964000</v>
      </c>
      <c r="K201" s="39">
        <f t="shared" si="70"/>
        <v>617694336</v>
      </c>
      <c r="L201" s="39">
        <f t="shared" si="71"/>
        <v>658717920</v>
      </c>
      <c r="M201" s="39">
        <f t="shared" si="71"/>
        <v>476298144</v>
      </c>
      <c r="N201" s="39">
        <f t="shared" si="72"/>
        <v>377286336</v>
      </c>
      <c r="O201" s="654"/>
    </row>
    <row r="202" spans="1:15" ht="12.75">
      <c r="A202" s="261" t="s">
        <v>317</v>
      </c>
      <c r="B202" s="262">
        <f>'Ave weights'!Q158</f>
        <v>0.05511463844797178</v>
      </c>
      <c r="C202" s="663">
        <v>0</v>
      </c>
      <c r="D202" s="664">
        <v>0</v>
      </c>
      <c r="E202" s="664">
        <v>30</v>
      </c>
      <c r="F202" s="664">
        <v>2</v>
      </c>
      <c r="G202" s="664"/>
      <c r="H202" s="39"/>
      <c r="I202" s="236">
        <f t="shared" si="69"/>
        <v>0</v>
      </c>
      <c r="J202" s="39">
        <f t="shared" si="69"/>
        <v>0</v>
      </c>
      <c r="K202" s="39">
        <f t="shared" si="70"/>
        <v>544320</v>
      </c>
      <c r="L202" s="39">
        <f t="shared" si="71"/>
        <v>36288</v>
      </c>
      <c r="M202" s="39">
        <f t="shared" si="71"/>
        <v>0</v>
      </c>
      <c r="N202" s="39">
        <f t="shared" si="72"/>
        <v>0</v>
      </c>
      <c r="O202" s="654"/>
    </row>
    <row r="203" spans="1:15" ht="12.75">
      <c r="A203" s="261"/>
      <c r="B203" s="262"/>
      <c r="C203" s="663"/>
      <c r="D203" s="664"/>
      <c r="E203" s="664"/>
      <c r="F203" s="664"/>
      <c r="G203" s="664"/>
      <c r="H203" s="39"/>
      <c r="I203" s="236"/>
      <c r="J203" s="39"/>
      <c r="K203" s="39"/>
      <c r="L203" s="39"/>
      <c r="M203" s="39"/>
      <c r="N203" s="39"/>
      <c r="O203" s="654"/>
    </row>
    <row r="204" spans="1:15" ht="12.75">
      <c r="A204" s="261"/>
      <c r="B204" s="262"/>
      <c r="C204" s="663"/>
      <c r="D204" s="664"/>
      <c r="E204" s="664"/>
      <c r="F204" s="664"/>
      <c r="G204" s="664"/>
      <c r="H204" s="39"/>
      <c r="I204" s="236"/>
      <c r="J204" s="39"/>
      <c r="K204" s="39"/>
      <c r="L204" s="39"/>
      <c r="M204" s="39"/>
      <c r="N204" s="39"/>
      <c r="O204" s="654"/>
    </row>
    <row r="205" spans="1:15" ht="12.75">
      <c r="A205" s="261"/>
      <c r="B205" s="262"/>
      <c r="C205" s="663"/>
      <c r="D205" s="664"/>
      <c r="E205" s="664"/>
      <c r="F205" s="664"/>
      <c r="G205" s="664"/>
      <c r="H205" s="39"/>
      <c r="I205" s="236"/>
      <c r="J205" s="39"/>
      <c r="K205" s="39"/>
      <c r="L205" s="39"/>
      <c r="M205" s="39"/>
      <c r="N205" s="39"/>
      <c r="O205" s="654"/>
    </row>
    <row r="206" spans="1:15" ht="12.75">
      <c r="A206" s="261"/>
      <c r="B206" s="262"/>
      <c r="C206" s="665"/>
      <c r="D206" s="666"/>
      <c r="E206" s="666"/>
      <c r="F206" s="666"/>
      <c r="G206" s="666"/>
      <c r="H206" s="41"/>
      <c r="I206" s="236"/>
      <c r="J206" s="39"/>
      <c r="K206" s="39"/>
      <c r="L206" s="39"/>
      <c r="M206" s="39"/>
      <c r="N206" s="39"/>
      <c r="O206" s="654"/>
    </row>
    <row r="207" spans="1:15" ht="12.75">
      <c r="A207" s="261"/>
      <c r="B207" s="262"/>
      <c r="C207" s="665"/>
      <c r="D207" s="666"/>
      <c r="E207" s="666"/>
      <c r="F207" s="666"/>
      <c r="G207" s="666"/>
      <c r="H207" s="39"/>
      <c r="I207" s="236"/>
      <c r="J207" s="39"/>
      <c r="K207" s="39"/>
      <c r="L207" s="39"/>
      <c r="M207" s="39"/>
      <c r="N207" s="39"/>
      <c r="O207" s="654"/>
    </row>
    <row r="208" spans="1:15" ht="12.75">
      <c r="A208" s="261" t="s">
        <v>318</v>
      </c>
      <c r="B208" s="262">
        <f>'Ave weights'!Q160</f>
        <v>0.23</v>
      </c>
      <c r="C208" s="236">
        <v>41435</v>
      </c>
      <c r="D208" s="39">
        <v>34883</v>
      </c>
      <c r="E208" s="39">
        <v>40605</v>
      </c>
      <c r="F208" s="39">
        <v>35048</v>
      </c>
      <c r="G208" s="39">
        <v>19890</v>
      </c>
      <c r="H208" s="39">
        <v>30505</v>
      </c>
      <c r="I208" s="236">
        <f aca="true" t="shared" si="73" ref="I208:K212">C208*1000/$B208</f>
        <v>180152173.91304347</v>
      </c>
      <c r="J208" s="39">
        <f t="shared" si="73"/>
        <v>151665217.39130434</v>
      </c>
      <c r="K208" s="39">
        <f t="shared" si="73"/>
        <v>176543478.26086956</v>
      </c>
      <c r="L208" s="39">
        <f aca="true" t="shared" si="74" ref="L208:M212">F208*1000/$B208</f>
        <v>152382608.69565216</v>
      </c>
      <c r="M208" s="39">
        <f t="shared" si="74"/>
        <v>86478260.86956522</v>
      </c>
      <c r="N208" s="39">
        <f>H208*1000/$B208</f>
        <v>132630434.78260869</v>
      </c>
      <c r="O208" s="654"/>
    </row>
    <row r="209" spans="1:15" ht="12.75">
      <c r="A209" s="261" t="s">
        <v>319</v>
      </c>
      <c r="B209" s="262">
        <f>'Ave weights'!Q161</f>
        <v>0.2995125</v>
      </c>
      <c r="C209" s="236">
        <v>21034</v>
      </c>
      <c r="D209" s="39">
        <v>14746</v>
      </c>
      <c r="E209" s="39">
        <v>20487</v>
      </c>
      <c r="F209" s="39">
        <v>25132</v>
      </c>
      <c r="G209" s="39">
        <v>27179</v>
      </c>
      <c r="H209" s="39">
        <v>35051</v>
      </c>
      <c r="I209" s="236">
        <f t="shared" si="73"/>
        <v>70227452.94436793</v>
      </c>
      <c r="J209" s="39">
        <f t="shared" si="73"/>
        <v>49233337.506781854</v>
      </c>
      <c r="K209" s="39">
        <f t="shared" si="73"/>
        <v>68401151.87179166</v>
      </c>
      <c r="L209" s="39">
        <f t="shared" si="74"/>
        <v>83909686.57401611</v>
      </c>
      <c r="M209" s="39">
        <f t="shared" si="74"/>
        <v>90744125.87120737</v>
      </c>
      <c r="N209" s="39">
        <f>H209*1000/$B209</f>
        <v>117026835.27398689</v>
      </c>
      <c r="O209" s="654"/>
    </row>
    <row r="210" spans="1:15" ht="12.75">
      <c r="A210" s="261" t="s">
        <v>320</v>
      </c>
      <c r="B210" s="262">
        <f>'Ave weights'!Q162</f>
        <v>0.153</v>
      </c>
      <c r="C210" s="236">
        <v>889</v>
      </c>
      <c r="D210" s="39">
        <v>1191</v>
      </c>
      <c r="E210" s="39">
        <v>1539</v>
      </c>
      <c r="F210" s="39">
        <v>2866</v>
      </c>
      <c r="G210" s="39">
        <v>2762</v>
      </c>
      <c r="H210" s="39">
        <v>177</v>
      </c>
      <c r="I210" s="236">
        <f t="shared" si="73"/>
        <v>5810457.516339869</v>
      </c>
      <c r="J210" s="39">
        <f t="shared" si="73"/>
        <v>7784313.725490197</v>
      </c>
      <c r="K210" s="39">
        <f t="shared" si="73"/>
        <v>10058823.529411765</v>
      </c>
      <c r="L210" s="39">
        <f t="shared" si="74"/>
        <v>18732026.14379085</v>
      </c>
      <c r="M210" s="39">
        <f t="shared" si="74"/>
        <v>18052287.581699345</v>
      </c>
      <c r="N210" s="39">
        <f>H210*1000/$B210</f>
        <v>1156862.7450980393</v>
      </c>
      <c r="O210" s="654"/>
    </row>
    <row r="211" spans="1:15" ht="12.75">
      <c r="A211" s="261" t="s">
        <v>328</v>
      </c>
      <c r="B211" s="262">
        <f>'Ave weights'!Q163</f>
        <v>0.147</v>
      </c>
      <c r="C211" s="236">
        <v>267979</v>
      </c>
      <c r="D211" s="39">
        <v>286380</v>
      </c>
      <c r="E211" s="39">
        <v>203643</v>
      </c>
      <c r="F211" s="39">
        <v>80680</v>
      </c>
      <c r="G211" s="39">
        <v>109073</v>
      </c>
      <c r="H211" s="39">
        <v>108406</v>
      </c>
      <c r="I211" s="536">
        <f t="shared" si="73"/>
        <v>1822986394.5578232</v>
      </c>
      <c r="J211" s="39">
        <f t="shared" si="73"/>
        <v>1948163265.3061225</v>
      </c>
      <c r="K211" s="39">
        <f t="shared" si="73"/>
        <v>1385326530.612245</v>
      </c>
      <c r="L211" s="39">
        <f t="shared" si="74"/>
        <v>548843537.414966</v>
      </c>
      <c r="M211" s="39">
        <f t="shared" si="74"/>
        <v>741993197.2789116</v>
      </c>
      <c r="N211" s="39">
        <f>H211*1000/$B211</f>
        <v>737455782.3129252</v>
      </c>
      <c r="O211" s="654"/>
    </row>
    <row r="212" spans="1:15" ht="12.75">
      <c r="A212" s="261" t="s">
        <v>329</v>
      </c>
      <c r="B212" s="262">
        <f>'Ave weights'!Q164</f>
        <v>0.153</v>
      </c>
      <c r="C212" s="236">
        <v>6</v>
      </c>
      <c r="D212" s="39">
        <v>23</v>
      </c>
      <c r="E212" s="39">
        <v>18</v>
      </c>
      <c r="F212" s="39">
        <v>2024</v>
      </c>
      <c r="G212" s="38">
        <v>178</v>
      </c>
      <c r="H212" s="39">
        <v>4906</v>
      </c>
      <c r="I212" s="236">
        <f t="shared" si="73"/>
        <v>39215.686274509804</v>
      </c>
      <c r="J212" s="39">
        <f t="shared" si="73"/>
        <v>150326.7973856209</v>
      </c>
      <c r="K212" s="39">
        <f t="shared" si="73"/>
        <v>117647.05882352941</v>
      </c>
      <c r="L212" s="39">
        <f t="shared" si="74"/>
        <v>13228758.169934642</v>
      </c>
      <c r="M212" s="39">
        <f t="shared" si="74"/>
        <v>1163398.6928104574</v>
      </c>
      <c r="N212" s="39">
        <f>H212*1000/$B212</f>
        <v>32065359.477124184</v>
      </c>
      <c r="O212" s="654"/>
    </row>
    <row r="213" spans="1:15" ht="12.75">
      <c r="A213" s="261"/>
      <c r="B213" s="262"/>
      <c r="C213" s="215"/>
      <c r="D213" s="38"/>
      <c r="E213" s="38"/>
      <c r="F213" s="38"/>
      <c r="G213" s="38"/>
      <c r="H213" s="41"/>
      <c r="I213" s="236"/>
      <c r="J213" s="39"/>
      <c r="K213" s="39"/>
      <c r="L213" s="39"/>
      <c r="M213" s="39"/>
      <c r="N213" s="39"/>
      <c r="O213" s="654"/>
    </row>
    <row r="214" spans="1:15" ht="12.75">
      <c r="A214" s="261" t="s">
        <v>321</v>
      </c>
      <c r="B214" s="262">
        <f>'Ave weights'!Q165</f>
        <v>0.11863866328675503</v>
      </c>
      <c r="C214" s="236">
        <v>15990</v>
      </c>
      <c r="D214" s="39">
        <v>9331</v>
      </c>
      <c r="E214" s="39">
        <v>10373</v>
      </c>
      <c r="F214" s="39">
        <v>8440</v>
      </c>
      <c r="G214" s="39">
        <v>13323</v>
      </c>
      <c r="H214" s="39">
        <v>13946</v>
      </c>
      <c r="I214" s="236">
        <f aca="true" t="shared" si="75" ref="I214:N214">C214*1000/$B214</f>
        <v>134778996.6357885</v>
      </c>
      <c r="J214" s="39">
        <f t="shared" si="75"/>
        <v>78650582.7147306</v>
      </c>
      <c r="K214" s="39">
        <f t="shared" si="75"/>
        <v>87433554.22783202</v>
      </c>
      <c r="L214" s="39">
        <f t="shared" si="75"/>
        <v>71140383.46504408</v>
      </c>
      <c r="M214" s="39">
        <f t="shared" si="75"/>
        <v>112298972.61905004</v>
      </c>
      <c r="N214" s="39">
        <f t="shared" si="75"/>
        <v>117550211.82505982</v>
      </c>
      <c r="O214" s="654"/>
    </row>
    <row r="215" spans="1:15" ht="12.75">
      <c r="A215" s="261"/>
      <c r="B215" s="262"/>
      <c r="C215" s="214"/>
      <c r="D215" s="41"/>
      <c r="E215" s="41"/>
      <c r="F215" s="41"/>
      <c r="G215" s="41"/>
      <c r="H215" s="39"/>
      <c r="I215" s="236"/>
      <c r="J215" s="39"/>
      <c r="K215" s="39"/>
      <c r="L215" s="39"/>
      <c r="M215" s="39"/>
      <c r="N215" s="39"/>
      <c r="O215" s="654"/>
    </row>
    <row r="216" spans="1:15" ht="12.75">
      <c r="A216" s="261"/>
      <c r="B216" s="262"/>
      <c r="C216" s="214"/>
      <c r="D216" s="41"/>
      <c r="E216" s="41"/>
      <c r="F216" s="41"/>
      <c r="G216" s="41"/>
      <c r="H216" s="39"/>
      <c r="I216" s="236"/>
      <c r="J216" s="39"/>
      <c r="K216" s="39"/>
      <c r="L216" s="39"/>
      <c r="M216" s="39"/>
      <c r="N216" s="39"/>
      <c r="O216" s="654"/>
    </row>
    <row r="217" spans="1:15" ht="12.75">
      <c r="A217" s="261"/>
      <c r="B217" s="262"/>
      <c r="C217" s="214"/>
      <c r="D217" s="41"/>
      <c r="E217" s="41"/>
      <c r="F217" s="41"/>
      <c r="G217" s="41"/>
      <c r="H217" s="39"/>
      <c r="I217" s="236"/>
      <c r="J217" s="39"/>
      <c r="K217" s="39"/>
      <c r="L217" s="39"/>
      <c r="M217" s="39"/>
      <c r="N217" s="39"/>
      <c r="O217" s="654"/>
    </row>
    <row r="218" spans="1:15" ht="13.5" thickBot="1">
      <c r="A218" s="263"/>
      <c r="B218" s="264"/>
      <c r="C218" s="673"/>
      <c r="D218" s="260"/>
      <c r="E218" s="260"/>
      <c r="F218" s="260"/>
      <c r="G218" s="260"/>
      <c r="H218" s="256"/>
      <c r="I218" s="255"/>
      <c r="J218" s="256"/>
      <c r="K218" s="256"/>
      <c r="L218" s="256"/>
      <c r="M218" s="256"/>
      <c r="N218" s="256"/>
      <c r="O218" s="654"/>
    </row>
    <row r="219" spans="1:15" ht="13.5" thickBot="1">
      <c r="A219" s="252" t="s">
        <v>492</v>
      </c>
      <c r="B219" s="343">
        <f>F219*1000/L219</f>
        <v>0.11988141269562783</v>
      </c>
      <c r="C219" s="244">
        <f aca="true" t="shared" si="76" ref="C219:N219">SUM(C157:C218)</f>
        <v>1369709</v>
      </c>
      <c r="D219" s="231">
        <v>1291869</v>
      </c>
      <c r="E219" s="231">
        <f t="shared" si="76"/>
        <v>1246606</v>
      </c>
      <c r="F219" s="231">
        <f t="shared" si="76"/>
        <v>1051578</v>
      </c>
      <c r="G219" s="231">
        <f t="shared" si="76"/>
        <v>1084173</v>
      </c>
      <c r="H219" s="231">
        <f t="shared" si="76"/>
        <v>1125202</v>
      </c>
      <c r="I219" s="244">
        <f t="shared" si="76"/>
        <v>11193326665.426249</v>
      </c>
      <c r="J219" s="231">
        <f>SUM(J157:J218)</f>
        <v>10277524316.327524</v>
      </c>
      <c r="K219" s="231">
        <f>SUM(K157:K218)</f>
        <v>10817748572.022854</v>
      </c>
      <c r="L219" s="231">
        <f t="shared" si="76"/>
        <v>8771818552.638327</v>
      </c>
      <c r="M219" s="231">
        <f t="shared" si="76"/>
        <v>9775011943.338284</v>
      </c>
      <c r="N219" s="231">
        <f t="shared" si="76"/>
        <v>9592922743.39876</v>
      </c>
      <c r="O219" s="654"/>
    </row>
    <row r="220" spans="1:14" ht="12.75">
      <c r="A220" s="38"/>
      <c r="B220" s="38"/>
      <c r="C220" s="38"/>
      <c r="D220" s="38"/>
      <c r="E220" s="38"/>
      <c r="F220" s="38"/>
      <c r="G220" s="38"/>
      <c r="H220" s="38"/>
      <c r="I220" s="38"/>
      <c r="J220" s="38"/>
      <c r="K220" s="38"/>
      <c r="L220" s="38"/>
      <c r="M220" s="38"/>
      <c r="N220" s="38"/>
    </row>
    <row r="221" spans="1:14" ht="12.75">
      <c r="A221" s="232" t="s">
        <v>491</v>
      </c>
      <c r="B221" s="232">
        <f>F221*1000/L221</f>
        <v>0.5067002082741465</v>
      </c>
      <c r="C221" s="233">
        <f aca="true" t="shared" si="77" ref="C221:N221">C219+C152</f>
        <v>10067669</v>
      </c>
      <c r="D221" s="233">
        <f t="shared" si="77"/>
        <v>8209882</v>
      </c>
      <c r="E221" s="233">
        <f t="shared" si="77"/>
        <v>8011826</v>
      </c>
      <c r="F221" s="233">
        <f t="shared" si="77"/>
        <v>8309648</v>
      </c>
      <c r="G221" s="233">
        <f t="shared" si="77"/>
        <v>9293716</v>
      </c>
      <c r="H221" s="233">
        <f t="shared" si="77"/>
        <v>9679970</v>
      </c>
      <c r="I221" s="233">
        <f>I219+I152</f>
        <v>20495545350.763485</v>
      </c>
      <c r="J221" s="233">
        <f>J219+J152</f>
        <v>17249300474.574036</v>
      </c>
      <c r="K221" s="233">
        <f>K219+K152</f>
        <v>18200348434.78183</v>
      </c>
      <c r="L221" s="233">
        <f t="shared" si="77"/>
        <v>16399535394.515022</v>
      </c>
      <c r="M221" s="233">
        <f t="shared" si="77"/>
        <v>18466451984.33115</v>
      </c>
      <c r="N221" s="233">
        <f t="shared" si="77"/>
        <v>18091941631.55677</v>
      </c>
    </row>
    <row r="222" spans="1:14" ht="12.75">
      <c r="A222" s="38"/>
      <c r="B222" s="38"/>
      <c r="C222" s="38"/>
      <c r="D222" s="38"/>
      <c r="E222" s="38"/>
      <c r="F222" s="38"/>
      <c r="G222" s="38"/>
      <c r="H222" s="38"/>
      <c r="I222" s="38"/>
      <c r="J222" s="38"/>
      <c r="K222" s="38"/>
      <c r="L222" s="38"/>
      <c r="M222" s="38"/>
      <c r="N222" s="38"/>
    </row>
    <row r="223" spans="1:14" ht="12.75">
      <c r="A223" s="41" t="s">
        <v>689</v>
      </c>
      <c r="B223" s="38"/>
      <c r="C223" s="38" t="s">
        <v>812</v>
      </c>
      <c r="D223" s="38" t="s">
        <v>801</v>
      </c>
      <c r="E223" s="38" t="s">
        <v>11</v>
      </c>
      <c r="F223" s="38" t="s">
        <v>744</v>
      </c>
      <c r="G223" s="38" t="s">
        <v>744</v>
      </c>
      <c r="H223" s="38" t="s">
        <v>745</v>
      </c>
      <c r="I223" s="38"/>
      <c r="J223" s="38"/>
      <c r="K223" s="38"/>
      <c r="L223" s="38"/>
      <c r="M223" s="38"/>
      <c r="N223" s="38"/>
    </row>
  </sheetData>
  <sheetProtection/>
  <mergeCells count="4">
    <mergeCell ref="C2:H2"/>
    <mergeCell ref="I2:N2"/>
    <mergeCell ref="C155:H155"/>
    <mergeCell ref="I155:N15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EP230"/>
  <sheetViews>
    <sheetView zoomScale="75" zoomScaleNormal="7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IV16384"/>
    </sheetView>
  </sheetViews>
  <sheetFormatPr defaultColWidth="9.140625" defaultRowHeight="12.75"/>
  <cols>
    <col min="1" max="1" width="27.57421875" style="164" customWidth="1"/>
    <col min="2" max="2" width="9.140625" style="164" customWidth="1"/>
    <col min="3" max="3" width="11.421875" style="623" customWidth="1"/>
    <col min="4" max="4" width="13.00390625" style="623" customWidth="1"/>
    <col min="5" max="7" width="13.00390625" style="164" customWidth="1"/>
    <col min="8" max="8" width="10.28125" style="626" customWidth="1"/>
    <col min="9" max="9" width="9.140625" style="286" customWidth="1"/>
    <col min="10" max="12" width="9.140625" style="164" customWidth="1"/>
    <col min="13" max="13" width="9.140625" style="623" customWidth="1"/>
    <col min="14" max="17" width="9.140625" style="164" customWidth="1"/>
    <col min="18" max="18" width="34.7109375" style="164" customWidth="1"/>
    <col min="19" max="19" width="12.57421875" style="286" customWidth="1"/>
    <col min="20" max="24" width="10.28125" style="164" customWidth="1"/>
    <col min="25" max="25" width="10.28125" style="286" customWidth="1"/>
    <col min="26" max="30" width="10.28125" style="164" customWidth="1"/>
    <col min="31" max="31" width="10.28125" style="286" customWidth="1"/>
    <col min="32" max="36" width="9.140625" style="164" customWidth="1"/>
    <col min="37" max="37" width="9.140625" style="286" customWidth="1"/>
    <col min="38" max="42" width="9.140625" style="164" customWidth="1"/>
    <col min="43" max="43" width="9.140625" style="286" customWidth="1"/>
    <col min="44" max="44" width="9.140625" style="164" customWidth="1"/>
    <col min="45" max="47" width="9.421875" style="164" customWidth="1"/>
    <col min="48" max="48" width="9.421875" style="651" customWidth="1"/>
    <col min="49" max="49" width="11.7109375" style="617" customWidth="1"/>
    <col min="50" max="50" width="12.140625" style="651" customWidth="1"/>
    <col min="51" max="54" width="13.140625" style="651" customWidth="1"/>
    <col min="55" max="55" width="18.421875" style="651" customWidth="1"/>
    <col min="56" max="56" width="19.00390625" style="651" customWidth="1"/>
    <col min="57" max="60" width="19.00390625" style="164" customWidth="1"/>
    <col min="61" max="61" width="10.8515625" style="286" customWidth="1"/>
    <col min="62" max="62" width="10.421875" style="286" customWidth="1"/>
    <col min="63" max="72" width="9.8515625" style="164" customWidth="1"/>
    <col min="73" max="73" width="9.8515625" style="286" customWidth="1"/>
    <col min="74" max="74" width="9.8515625" style="164" customWidth="1"/>
    <col min="75" max="84" width="9.140625" style="164" customWidth="1"/>
    <col min="85" max="85" width="9.140625" style="286" customWidth="1"/>
    <col min="86" max="86" width="9.140625" style="164" customWidth="1"/>
    <col min="87" max="87" width="10.140625" style="164" customWidth="1"/>
    <col min="88" max="92" width="9.140625" style="164" customWidth="1"/>
    <col min="93" max="93" width="10.00390625" style="164" customWidth="1"/>
    <col min="94" max="96" width="9.140625" style="164" customWidth="1"/>
    <col min="97" max="97" width="13.00390625" style="286" customWidth="1"/>
    <col min="98" max="98" width="12.00390625" style="651" customWidth="1"/>
    <col min="99" max="99" width="13.57421875" style="651" customWidth="1"/>
    <col min="100" max="100" width="12.140625" style="651" customWidth="1"/>
    <col min="101" max="101" width="12.421875" style="651" customWidth="1"/>
    <col min="102" max="102" width="11.28125" style="651" customWidth="1"/>
    <col min="103" max="103" width="17.00390625" style="617" customWidth="1"/>
    <col min="104" max="104" width="17.140625" style="651" customWidth="1"/>
    <col min="105" max="108" width="16.8515625" style="164" customWidth="1"/>
    <col min="109" max="109" width="16.8515625" style="286" customWidth="1"/>
    <col min="110" max="114" width="13.57421875" style="164" customWidth="1"/>
    <col min="115" max="115" width="16.57421875" style="286" customWidth="1"/>
    <col min="116" max="116" width="18.00390625" style="164" customWidth="1"/>
    <col min="117" max="120" width="18.28125" style="164" customWidth="1"/>
    <col min="121" max="121" width="18.28125" style="286" customWidth="1"/>
    <col min="122" max="122" width="18.28125" style="164" customWidth="1"/>
    <col min="123" max="127" width="18.00390625" style="164" customWidth="1"/>
    <col min="128" max="128" width="16.28125" style="164" customWidth="1"/>
    <col min="129" max="130" width="17.57421875" style="164" customWidth="1"/>
    <col min="131" max="131" width="16.28125" style="620" customWidth="1"/>
    <col min="132" max="132" width="17.57421875" style="164" customWidth="1"/>
    <col min="133" max="133" width="23.421875" style="164" customWidth="1"/>
    <col min="134" max="145" width="9.140625" style="164" customWidth="1"/>
    <col min="146" max="146" width="12.140625" style="164" bestFit="1" customWidth="1"/>
    <col min="147" max="16384" width="9.140625" style="164" customWidth="1"/>
  </cols>
  <sheetData>
    <row r="1" spans="1:134" ht="13.5" customHeight="1" thickBot="1">
      <c r="A1" s="394"/>
      <c r="B1" s="239"/>
      <c r="C1" s="276" t="s">
        <v>10</v>
      </c>
      <c r="D1" s="277"/>
      <c r="E1" s="534"/>
      <c r="F1" s="599" t="s">
        <v>734</v>
      </c>
      <c r="G1" s="492"/>
      <c r="H1" s="492"/>
      <c r="I1" s="492"/>
      <c r="J1" s="492"/>
      <c r="K1" s="492"/>
      <c r="L1" s="492"/>
      <c r="M1" s="492"/>
      <c r="N1" s="492"/>
      <c r="O1" s="492"/>
      <c r="P1" s="492"/>
      <c r="Q1" s="492"/>
      <c r="R1" s="492"/>
      <c r="S1" s="492"/>
      <c r="T1" s="492"/>
      <c r="U1" s="492"/>
      <c r="V1" s="492"/>
      <c r="W1" s="492"/>
      <c r="X1" s="492"/>
      <c r="Y1" s="205"/>
      <c r="Z1" s="205"/>
      <c r="AA1" s="205"/>
      <c r="AB1" s="205"/>
      <c r="AC1" s="38"/>
      <c r="AD1" s="205"/>
      <c r="AE1" s="205"/>
      <c r="AF1" s="205"/>
      <c r="AG1" s="205"/>
      <c r="AH1" s="205"/>
      <c r="AI1" s="205"/>
      <c r="AJ1" s="205"/>
      <c r="AK1" s="205"/>
      <c r="AL1" s="205"/>
      <c r="AM1" s="205"/>
      <c r="AN1" s="205"/>
      <c r="AO1" s="205"/>
      <c r="AP1" s="205"/>
      <c r="AQ1" s="205"/>
      <c r="AR1" s="205"/>
      <c r="AS1" s="205"/>
      <c r="AT1" s="205"/>
      <c r="AU1" s="205"/>
      <c r="AV1" s="41"/>
      <c r="AW1" s="41"/>
      <c r="AX1" s="41"/>
      <c r="AY1" s="41"/>
      <c r="AZ1" s="41"/>
      <c r="BA1" s="41"/>
      <c r="BB1" s="41"/>
      <c r="BC1" s="41"/>
      <c r="BD1" s="41"/>
      <c r="BE1" s="205"/>
      <c r="BF1" s="40"/>
      <c r="BG1" s="40"/>
      <c r="BH1" s="600"/>
      <c r="BI1" s="507" t="s">
        <v>805</v>
      </c>
      <c r="BJ1" s="507"/>
      <c r="BK1" s="507"/>
      <c r="BL1" s="507"/>
      <c r="BM1" s="601"/>
      <c r="BN1" s="602"/>
      <c r="BO1" s="602"/>
      <c r="BP1" s="602"/>
      <c r="BQ1" s="602"/>
      <c r="BY1" s="205"/>
      <c r="BZ1" s="205"/>
      <c r="CA1" s="205"/>
      <c r="CB1" s="205"/>
      <c r="CC1" s="205"/>
      <c r="CD1" s="205"/>
      <c r="CE1" s="205"/>
      <c r="CF1" s="205"/>
      <c r="CG1" s="205"/>
      <c r="CH1" s="205"/>
      <c r="CI1" s="205"/>
      <c r="CJ1" s="205"/>
      <c r="CK1" s="205"/>
      <c r="CL1" s="205"/>
      <c r="CM1" s="205"/>
      <c r="CN1" s="205"/>
      <c r="CO1" s="205"/>
      <c r="CP1" s="205"/>
      <c r="CQ1" s="205"/>
      <c r="CR1" s="205"/>
      <c r="CS1" s="205"/>
      <c r="CT1" s="41"/>
      <c r="CU1" s="41"/>
      <c r="CV1" s="41"/>
      <c r="CW1" s="41"/>
      <c r="CX1" s="41"/>
      <c r="CY1" s="41"/>
      <c r="CZ1" s="41"/>
      <c r="DA1" s="205"/>
      <c r="DB1" s="40"/>
      <c r="DC1" s="40"/>
      <c r="DD1" s="519"/>
      <c r="DE1" s="548" t="s">
        <v>790</v>
      </c>
      <c r="DF1" s="549"/>
      <c r="DG1" s="549"/>
      <c r="DH1" s="549"/>
      <c r="DI1" s="549"/>
      <c r="DJ1" s="550"/>
      <c r="DK1" s="548" t="s">
        <v>736</v>
      </c>
      <c r="DL1" s="549"/>
      <c r="DM1" s="549"/>
      <c r="DN1" s="549"/>
      <c r="DO1" s="549"/>
      <c r="DP1" s="550"/>
      <c r="DQ1" s="548" t="s">
        <v>117</v>
      </c>
      <c r="DR1" s="549"/>
      <c r="DS1" s="549"/>
      <c r="DT1" s="549"/>
      <c r="DU1" s="549"/>
      <c r="DV1" s="550"/>
      <c r="DW1" s="38"/>
      <c r="DX1" s="38"/>
      <c r="DY1" s="38"/>
      <c r="DZ1" s="38"/>
      <c r="EA1" s="546"/>
      <c r="EB1" s="38"/>
      <c r="EC1" s="38"/>
      <c r="ED1" s="38"/>
    </row>
    <row r="2" spans="1:134" s="612" customFormat="1" ht="25.5" customHeight="1" thickBot="1">
      <c r="A2" s="603" t="s">
        <v>820</v>
      </c>
      <c r="B2" s="581" t="s">
        <v>43</v>
      </c>
      <c r="C2" s="604" t="s">
        <v>746</v>
      </c>
      <c r="D2" s="605"/>
      <c r="E2" s="605"/>
      <c r="F2" s="605"/>
      <c r="G2" s="606"/>
      <c r="H2" s="572" t="s">
        <v>747</v>
      </c>
      <c r="I2" s="573"/>
      <c r="J2" s="573"/>
      <c r="K2" s="573"/>
      <c r="L2" s="574"/>
      <c r="M2" s="572" t="s">
        <v>748</v>
      </c>
      <c r="N2" s="573"/>
      <c r="O2" s="573"/>
      <c r="P2" s="573"/>
      <c r="Q2" s="574"/>
      <c r="R2" s="607" t="s">
        <v>749</v>
      </c>
      <c r="S2" s="572" t="s">
        <v>715</v>
      </c>
      <c r="T2" s="573"/>
      <c r="U2" s="573"/>
      <c r="V2" s="573"/>
      <c r="W2" s="573"/>
      <c r="X2" s="574"/>
      <c r="Y2" s="572" t="s">
        <v>640</v>
      </c>
      <c r="Z2" s="573"/>
      <c r="AA2" s="573"/>
      <c r="AB2" s="573"/>
      <c r="AC2" s="573"/>
      <c r="AD2" s="573"/>
      <c r="AE2" s="572" t="s">
        <v>641</v>
      </c>
      <c r="AF2" s="573"/>
      <c r="AG2" s="573"/>
      <c r="AH2" s="573"/>
      <c r="AI2" s="573"/>
      <c r="AJ2" s="574"/>
      <c r="AK2" s="572" t="s">
        <v>642</v>
      </c>
      <c r="AL2" s="573"/>
      <c r="AM2" s="573"/>
      <c r="AN2" s="573"/>
      <c r="AO2" s="573"/>
      <c r="AP2" s="574"/>
      <c r="AQ2" s="572" t="s">
        <v>643</v>
      </c>
      <c r="AR2" s="573"/>
      <c r="AS2" s="573"/>
      <c r="AT2" s="573"/>
      <c r="AU2" s="573"/>
      <c r="AV2" s="574"/>
      <c r="AW2" s="563" t="s">
        <v>669</v>
      </c>
      <c r="AX2" s="564"/>
      <c r="AY2" s="564"/>
      <c r="AZ2" s="564"/>
      <c r="BA2" s="564"/>
      <c r="BB2" s="565"/>
      <c r="BC2" s="566" t="s">
        <v>668</v>
      </c>
      <c r="BD2" s="567"/>
      <c r="BE2" s="567"/>
      <c r="BF2" s="567"/>
      <c r="BG2" s="567"/>
      <c r="BH2" s="568"/>
      <c r="BI2" s="608" t="s">
        <v>764</v>
      </c>
      <c r="BJ2" s="605"/>
      <c r="BK2" s="605"/>
      <c r="BL2" s="605"/>
      <c r="BM2" s="605"/>
      <c r="BN2" s="606"/>
      <c r="BO2" s="572" t="s">
        <v>715</v>
      </c>
      <c r="BP2" s="573"/>
      <c r="BQ2" s="573"/>
      <c r="BR2" s="573"/>
      <c r="BS2" s="573"/>
      <c r="BT2" s="574"/>
      <c r="BU2" s="572" t="s">
        <v>640</v>
      </c>
      <c r="BV2" s="573"/>
      <c r="BW2" s="573"/>
      <c r="BX2" s="573"/>
      <c r="BY2" s="573"/>
      <c r="BZ2" s="574"/>
      <c r="CA2" s="572" t="s">
        <v>641</v>
      </c>
      <c r="CB2" s="573"/>
      <c r="CC2" s="573"/>
      <c r="CD2" s="573"/>
      <c r="CE2" s="573"/>
      <c r="CF2" s="574"/>
      <c r="CG2" s="572" t="s">
        <v>642</v>
      </c>
      <c r="CH2" s="573"/>
      <c r="CI2" s="573"/>
      <c r="CJ2" s="573"/>
      <c r="CK2" s="573"/>
      <c r="CL2" s="574"/>
      <c r="CM2" s="572" t="s">
        <v>643</v>
      </c>
      <c r="CN2" s="573"/>
      <c r="CO2" s="573"/>
      <c r="CP2" s="573"/>
      <c r="CQ2" s="573"/>
      <c r="CR2" s="609"/>
      <c r="CS2" s="580" t="s">
        <v>669</v>
      </c>
      <c r="CT2" s="564"/>
      <c r="CU2" s="564"/>
      <c r="CV2" s="564"/>
      <c r="CW2" s="564"/>
      <c r="CX2" s="565"/>
      <c r="CY2" s="566" t="s">
        <v>668</v>
      </c>
      <c r="CZ2" s="567"/>
      <c r="DA2" s="567"/>
      <c r="DB2" s="567"/>
      <c r="DC2" s="567"/>
      <c r="DD2" s="568"/>
      <c r="DE2" s="551"/>
      <c r="DF2" s="552"/>
      <c r="DG2" s="552"/>
      <c r="DH2" s="552"/>
      <c r="DI2" s="552"/>
      <c r="DJ2" s="553"/>
      <c r="DK2" s="551"/>
      <c r="DL2" s="552"/>
      <c r="DM2" s="552"/>
      <c r="DN2" s="552"/>
      <c r="DO2" s="552"/>
      <c r="DP2" s="553"/>
      <c r="DQ2" s="551"/>
      <c r="DR2" s="552"/>
      <c r="DS2" s="552"/>
      <c r="DT2" s="552"/>
      <c r="DU2" s="552"/>
      <c r="DV2" s="553"/>
      <c r="DW2" s="610"/>
      <c r="DX2" s="610"/>
      <c r="DY2" s="610"/>
      <c r="DZ2" s="610"/>
      <c r="EA2" s="611"/>
      <c r="EB2" s="610"/>
      <c r="EC2" s="610"/>
      <c r="ED2" s="610"/>
    </row>
    <row r="3" spans="1:134" ht="13.5" thickBot="1">
      <c r="A3" s="474" t="s">
        <v>496</v>
      </c>
      <c r="B3" s="582"/>
      <c r="C3" s="279">
        <v>2011</v>
      </c>
      <c r="D3" s="279">
        <v>2010</v>
      </c>
      <c r="E3" s="279">
        <v>2009</v>
      </c>
      <c r="F3" s="279">
        <v>2008</v>
      </c>
      <c r="G3" s="361">
        <v>2007</v>
      </c>
      <c r="H3" s="279">
        <v>2011</v>
      </c>
      <c r="I3" s="279">
        <v>2010</v>
      </c>
      <c r="J3" s="279">
        <v>2009</v>
      </c>
      <c r="K3" s="279">
        <v>2008</v>
      </c>
      <c r="L3" s="361">
        <v>2007</v>
      </c>
      <c r="M3" s="279">
        <v>2011</v>
      </c>
      <c r="N3" s="279">
        <v>2010</v>
      </c>
      <c r="O3" s="279">
        <v>2009</v>
      </c>
      <c r="P3" s="279">
        <v>2008</v>
      </c>
      <c r="Q3" s="279">
        <v>2007</v>
      </c>
      <c r="R3" s="270">
        <v>2006</v>
      </c>
      <c r="S3" s="279">
        <v>2011</v>
      </c>
      <c r="T3" s="279">
        <v>2010</v>
      </c>
      <c r="U3" s="279">
        <v>2009</v>
      </c>
      <c r="V3" s="279">
        <v>2008</v>
      </c>
      <c r="W3" s="279">
        <v>2007</v>
      </c>
      <c r="X3" s="361">
        <v>2006</v>
      </c>
      <c r="Y3" s="279">
        <v>2011</v>
      </c>
      <c r="Z3" s="279">
        <v>2010</v>
      </c>
      <c r="AA3" s="279">
        <v>2009</v>
      </c>
      <c r="AB3" s="279">
        <v>2008</v>
      </c>
      <c r="AC3" s="279">
        <v>2007</v>
      </c>
      <c r="AD3" s="279">
        <v>2006</v>
      </c>
      <c r="AE3" s="613">
        <v>2011</v>
      </c>
      <c r="AF3" s="279">
        <v>2010</v>
      </c>
      <c r="AG3" s="279">
        <v>2009</v>
      </c>
      <c r="AH3" s="279">
        <v>2008</v>
      </c>
      <c r="AI3" s="279">
        <v>2007</v>
      </c>
      <c r="AJ3" s="361">
        <v>2006</v>
      </c>
      <c r="AK3" s="279">
        <v>2011</v>
      </c>
      <c r="AL3" s="279">
        <v>2010</v>
      </c>
      <c r="AM3" s="279">
        <v>2009</v>
      </c>
      <c r="AN3" s="279">
        <v>2008</v>
      </c>
      <c r="AO3" s="279">
        <v>2007</v>
      </c>
      <c r="AP3" s="361">
        <v>2006</v>
      </c>
      <c r="AQ3" s="279">
        <v>2011</v>
      </c>
      <c r="AR3" s="279">
        <v>2010</v>
      </c>
      <c r="AS3" s="279">
        <v>2009</v>
      </c>
      <c r="AT3" s="279">
        <v>2008</v>
      </c>
      <c r="AU3" s="279">
        <v>2007</v>
      </c>
      <c r="AV3" s="361">
        <v>2006</v>
      </c>
      <c r="AW3" s="279">
        <v>2011</v>
      </c>
      <c r="AX3" s="279">
        <v>2010</v>
      </c>
      <c r="AY3" s="279">
        <v>2009</v>
      </c>
      <c r="AZ3" s="279">
        <v>2008</v>
      </c>
      <c r="BA3" s="279">
        <v>2007</v>
      </c>
      <c r="BB3" s="280">
        <v>2006</v>
      </c>
      <c r="BC3" s="279">
        <v>2011</v>
      </c>
      <c r="BD3" s="279">
        <v>2010</v>
      </c>
      <c r="BE3" s="279">
        <v>2009</v>
      </c>
      <c r="BF3" s="279">
        <v>2008</v>
      </c>
      <c r="BG3" s="279">
        <v>2007</v>
      </c>
      <c r="BH3" s="280">
        <v>2006</v>
      </c>
      <c r="BI3" s="279">
        <v>2011</v>
      </c>
      <c r="BJ3" s="279">
        <v>2010</v>
      </c>
      <c r="BK3" s="279">
        <v>2009</v>
      </c>
      <c r="BL3" s="279">
        <v>2008</v>
      </c>
      <c r="BM3" s="279">
        <v>2007</v>
      </c>
      <c r="BN3" s="361">
        <v>2006</v>
      </c>
      <c r="BO3" s="279">
        <v>2011</v>
      </c>
      <c r="BP3" s="279">
        <v>2010</v>
      </c>
      <c r="BQ3" s="279">
        <v>2009</v>
      </c>
      <c r="BR3" s="279">
        <v>2008</v>
      </c>
      <c r="BS3" s="279">
        <v>2007</v>
      </c>
      <c r="BT3" s="361">
        <v>2006</v>
      </c>
      <c r="BU3" s="279">
        <v>2011</v>
      </c>
      <c r="BV3" s="279">
        <v>2010</v>
      </c>
      <c r="BW3" s="279">
        <v>2009</v>
      </c>
      <c r="BX3" s="279">
        <v>2008</v>
      </c>
      <c r="BY3" s="279">
        <v>2007</v>
      </c>
      <c r="BZ3" s="361">
        <v>2006</v>
      </c>
      <c r="CA3" s="279">
        <v>2011</v>
      </c>
      <c r="CB3" s="279">
        <v>2010</v>
      </c>
      <c r="CC3" s="279">
        <v>2009</v>
      </c>
      <c r="CD3" s="279">
        <v>2008</v>
      </c>
      <c r="CE3" s="279">
        <v>2007</v>
      </c>
      <c r="CF3" s="361">
        <v>2006</v>
      </c>
      <c r="CG3" s="279">
        <v>2011</v>
      </c>
      <c r="CH3" s="279">
        <v>2010</v>
      </c>
      <c r="CI3" s="279">
        <v>2009</v>
      </c>
      <c r="CJ3" s="279">
        <v>2008</v>
      </c>
      <c r="CK3" s="279">
        <v>2007</v>
      </c>
      <c r="CL3" s="361">
        <v>2006</v>
      </c>
      <c r="CM3" s="279">
        <v>2011</v>
      </c>
      <c r="CN3" s="279">
        <v>2010</v>
      </c>
      <c r="CO3" s="279">
        <v>2009</v>
      </c>
      <c r="CP3" s="279">
        <v>2008</v>
      </c>
      <c r="CQ3" s="279">
        <v>2007</v>
      </c>
      <c r="CR3" s="280">
        <v>2006</v>
      </c>
      <c r="CS3" s="279">
        <v>2011</v>
      </c>
      <c r="CT3" s="279">
        <v>2010</v>
      </c>
      <c r="CU3" s="279">
        <v>2009</v>
      </c>
      <c r="CV3" s="279">
        <v>2008</v>
      </c>
      <c r="CW3" s="279">
        <v>2007</v>
      </c>
      <c r="CX3" s="280">
        <v>2006</v>
      </c>
      <c r="CY3" s="279">
        <v>2011</v>
      </c>
      <c r="CZ3" s="279">
        <v>2010</v>
      </c>
      <c r="DA3" s="279">
        <v>2009</v>
      </c>
      <c r="DB3" s="279">
        <v>2008</v>
      </c>
      <c r="DC3" s="279">
        <v>2007</v>
      </c>
      <c r="DD3" s="280">
        <v>2006</v>
      </c>
      <c r="DE3" s="279">
        <v>2011</v>
      </c>
      <c r="DF3" s="279">
        <v>2010</v>
      </c>
      <c r="DG3" s="279">
        <v>2009</v>
      </c>
      <c r="DH3" s="279">
        <v>2008</v>
      </c>
      <c r="DI3" s="279">
        <v>2007</v>
      </c>
      <c r="DJ3" s="280">
        <v>2006</v>
      </c>
      <c r="DK3" s="279">
        <v>2011</v>
      </c>
      <c r="DL3" s="279">
        <v>2010</v>
      </c>
      <c r="DM3" s="279">
        <v>2009</v>
      </c>
      <c r="DN3" s="279">
        <v>2008</v>
      </c>
      <c r="DO3" s="279">
        <v>2007</v>
      </c>
      <c r="DP3" s="280">
        <v>2006</v>
      </c>
      <c r="DQ3" s="279">
        <v>2011</v>
      </c>
      <c r="DR3" s="279">
        <v>2010</v>
      </c>
      <c r="DS3" s="279">
        <v>2009</v>
      </c>
      <c r="DT3" s="279">
        <v>2008</v>
      </c>
      <c r="DU3" s="279">
        <v>2007</v>
      </c>
      <c r="DV3" s="280">
        <v>2006</v>
      </c>
      <c r="DW3" s="614"/>
      <c r="DX3" s="614"/>
      <c r="DY3" s="614"/>
      <c r="DZ3" s="614"/>
      <c r="EA3" s="615"/>
      <c r="EB3" s="614"/>
      <c r="EC3" s="614"/>
      <c r="ED3" s="614"/>
    </row>
    <row r="4" spans="1:134" ht="12.75">
      <c r="A4" s="362" t="s">
        <v>170</v>
      </c>
      <c r="B4" s="363">
        <f>Commerical!B4</f>
        <v>0.6125803402845529</v>
      </c>
      <c r="C4" s="41"/>
      <c r="D4" s="205"/>
      <c r="E4" s="205"/>
      <c r="F4" s="205"/>
      <c r="G4" s="216"/>
      <c r="H4" s="205"/>
      <c r="I4" s="205"/>
      <c r="J4" s="205"/>
      <c r="K4" s="205"/>
      <c r="L4" s="216"/>
      <c r="M4" s="205"/>
      <c r="N4" s="205"/>
      <c r="O4" s="205"/>
      <c r="P4" s="205"/>
      <c r="Q4" s="205"/>
      <c r="R4" s="271"/>
      <c r="S4" s="205"/>
      <c r="T4" s="205"/>
      <c r="U4" s="205"/>
      <c r="V4" s="205"/>
      <c r="W4" s="205"/>
      <c r="X4" s="216"/>
      <c r="Y4" s="205"/>
      <c r="Z4" s="205"/>
      <c r="AA4" s="205"/>
      <c r="AB4" s="205"/>
      <c r="AC4" s="38"/>
      <c r="AD4" s="41"/>
      <c r="AE4" s="616"/>
      <c r="AF4" s="205"/>
      <c r="AG4" s="205"/>
      <c r="AH4" s="205"/>
      <c r="AI4" s="205"/>
      <c r="AJ4" s="216"/>
      <c r="AK4" s="205"/>
      <c r="AL4" s="205"/>
      <c r="AM4" s="41"/>
      <c r="AN4" s="41"/>
      <c r="AO4" s="41"/>
      <c r="AP4" s="216"/>
      <c r="AQ4" s="205"/>
      <c r="AR4" s="205"/>
      <c r="AS4" s="41"/>
      <c r="AT4" s="358"/>
      <c r="AU4" s="359"/>
      <c r="AV4" s="235"/>
      <c r="AW4" s="41"/>
      <c r="AX4" s="41"/>
      <c r="AY4" s="212"/>
      <c r="AZ4" s="617"/>
      <c r="BA4" s="617"/>
      <c r="BB4" s="237"/>
      <c r="BC4" s="41"/>
      <c r="BD4" s="360"/>
      <c r="BE4" s="242"/>
      <c r="BF4" s="41"/>
      <c r="BG4" s="41"/>
      <c r="BH4" s="224"/>
      <c r="BI4" s="210"/>
      <c r="BJ4" s="210"/>
      <c r="BK4" s="242"/>
      <c r="BL4" s="41"/>
      <c r="BM4" s="41"/>
      <c r="BN4" s="275"/>
      <c r="BO4" s="210"/>
      <c r="BP4" s="210"/>
      <c r="BQ4" s="210"/>
      <c r="BR4" s="41"/>
      <c r="BS4" s="41"/>
      <c r="BT4" s="216"/>
      <c r="BU4" s="205"/>
      <c r="BV4" s="210"/>
      <c r="BW4" s="210"/>
      <c r="BX4" s="286"/>
      <c r="BY4" s="205"/>
      <c r="BZ4" s="235"/>
      <c r="CA4" s="41"/>
      <c r="CB4" s="41"/>
      <c r="CC4" s="205"/>
      <c r="CD4" s="205"/>
      <c r="CE4" s="205"/>
      <c r="CF4" s="216"/>
      <c r="CG4" s="205"/>
      <c r="CH4" s="205"/>
      <c r="CI4" s="39"/>
      <c r="CJ4" s="41"/>
      <c r="CK4" s="41"/>
      <c r="CL4" s="498"/>
      <c r="CM4" s="39"/>
      <c r="CN4" s="39"/>
      <c r="CO4" s="39"/>
      <c r="CP4" s="205"/>
      <c r="CQ4" s="205"/>
      <c r="CR4" s="282"/>
      <c r="CS4" s="205"/>
      <c r="CT4" s="41"/>
      <c r="CU4" s="360"/>
      <c r="CV4" s="360"/>
      <c r="CW4" s="212"/>
      <c r="CX4" s="237"/>
      <c r="CY4" s="41"/>
      <c r="CZ4" s="41"/>
      <c r="DA4" s="258"/>
      <c r="DB4" s="360"/>
      <c r="DC4" s="41"/>
      <c r="DD4" s="224"/>
      <c r="DE4" s="210"/>
      <c r="DF4" s="258"/>
      <c r="DG4" s="258"/>
      <c r="DH4" s="39"/>
      <c r="DI4" s="39"/>
      <c r="DJ4" s="266"/>
      <c r="DK4" s="258"/>
      <c r="DL4" s="258"/>
      <c r="DM4" s="258"/>
      <c r="DN4" s="39"/>
      <c r="DO4" s="39"/>
      <c r="DP4" s="243"/>
      <c r="DQ4" s="39">
        <f>DK4+Commerical!I4</f>
        <v>2264192.806703064</v>
      </c>
      <c r="DR4" s="39">
        <f>DL4+Commerical!J4</f>
        <v>3181623.4897363177</v>
      </c>
      <c r="DS4" s="39">
        <f>DM4+Commerical!K4</f>
        <v>2726173.026095254</v>
      </c>
      <c r="DT4" s="39">
        <f>DN4+Commerical!L4</f>
        <v>2334387.6810276727</v>
      </c>
      <c r="DU4" s="39">
        <f>DO4+Commerical!M4</f>
        <v>1521433.0900124412</v>
      </c>
      <c r="DV4" s="243">
        <f>DP4+Commerical!N4</f>
        <v>514218.2654012006</v>
      </c>
      <c r="DW4" s="39"/>
      <c r="DX4" s="39"/>
      <c r="DZ4" s="38"/>
      <c r="EA4" s="546"/>
      <c r="EB4" s="38"/>
      <c r="ED4" s="38"/>
    </row>
    <row r="5" spans="1:134" ht="12.75">
      <c r="A5" s="88" t="s">
        <v>171</v>
      </c>
      <c r="B5" s="29">
        <f>Commerical!B5</f>
        <v>0.07464265807687927</v>
      </c>
      <c r="C5" s="41"/>
      <c r="D5" s="205"/>
      <c r="E5" s="205"/>
      <c r="F5" s="205"/>
      <c r="G5" s="216"/>
      <c r="H5" s="205"/>
      <c r="I5" s="205"/>
      <c r="J5" s="205"/>
      <c r="K5" s="205"/>
      <c r="L5" s="216"/>
      <c r="M5" s="205"/>
      <c r="N5" s="205"/>
      <c r="O5" s="205"/>
      <c r="P5" s="205"/>
      <c r="Q5" s="205"/>
      <c r="R5" s="271"/>
      <c r="S5" s="205"/>
      <c r="T5" s="205"/>
      <c r="U5" s="205"/>
      <c r="V5" s="205"/>
      <c r="W5" s="205"/>
      <c r="X5" s="216"/>
      <c r="Y5" s="205">
        <v>3099</v>
      </c>
      <c r="Z5" s="205">
        <v>3557</v>
      </c>
      <c r="AA5" s="205">
        <v>3251</v>
      </c>
      <c r="AB5" s="397">
        <v>3247</v>
      </c>
      <c r="AC5" s="397">
        <v>3973</v>
      </c>
      <c r="AD5" s="41">
        <v>3630</v>
      </c>
      <c r="AE5" s="616"/>
      <c r="AF5" s="205"/>
      <c r="AG5" s="205"/>
      <c r="AH5" s="205"/>
      <c r="AI5" s="205"/>
      <c r="AJ5" s="216"/>
      <c r="AK5" s="205">
        <v>453</v>
      </c>
      <c r="AL5" s="205">
        <v>630</v>
      </c>
      <c r="AM5" s="401">
        <v>793</v>
      </c>
      <c r="AN5" s="401">
        <v>1197</v>
      </c>
      <c r="AO5" s="401">
        <v>1164</v>
      </c>
      <c r="AP5" s="235">
        <v>1034</v>
      </c>
      <c r="AQ5" s="41"/>
      <c r="AR5" s="41"/>
      <c r="AS5" s="205"/>
      <c r="AT5" s="205"/>
      <c r="AU5" s="205"/>
      <c r="AV5" s="235"/>
      <c r="AW5" s="41">
        <f aca="true" t="shared" si="0" ref="AW5:AX68">(C5+H5+M5+S5+Y5+(AE5/0.212)+(AK5/0.55)+(AQ5/0.635))</f>
        <v>3922.6363636363635</v>
      </c>
      <c r="AX5" s="41">
        <f t="shared" si="0"/>
        <v>4702.454545454545</v>
      </c>
      <c r="AY5" s="41">
        <f aca="true" t="shared" si="1" ref="AY5:AY68">(E5+J5+O5+U5+AA5+(AG5/0.212)+(AM5/0.55)+(AS5/0.635))</f>
        <v>4692.818181818182</v>
      </c>
      <c r="AZ5" s="41">
        <f aca="true" t="shared" si="2" ref="AZ5:BA7">(F5+K5+P5+V5+AB5+(AH5/0.212)+(AN5/0.55)+(AT5/0.635))</f>
        <v>5423.363636363636</v>
      </c>
      <c r="BA5" s="41">
        <f t="shared" si="2"/>
        <v>6089.363636363636</v>
      </c>
      <c r="BB5" s="237">
        <f>(R5+X5+AD5+(AJ5/0.212)+(AP5/0.55)+(AV5/0.635))</f>
        <v>5510</v>
      </c>
      <c r="BC5" s="41">
        <f aca="true" t="shared" si="3" ref="BC5:BF7">AW5*1000/0.45359237/$B5</f>
        <v>115857782.76615344</v>
      </c>
      <c r="BD5" s="41">
        <f t="shared" si="3"/>
        <v>138890253.05672944</v>
      </c>
      <c r="BE5" s="41">
        <f t="shared" si="3"/>
        <v>138605636.38025463</v>
      </c>
      <c r="BF5" s="41">
        <f t="shared" si="3"/>
        <v>160182802.53262916</v>
      </c>
      <c r="BG5" s="41">
        <f aca="true" t="shared" si="4" ref="BG5:BH7">BA5*1000/0.45359237/$B5</f>
        <v>179853573.9652195</v>
      </c>
      <c r="BH5" s="237">
        <f t="shared" si="4"/>
        <v>162741667.557917</v>
      </c>
      <c r="BI5" s="41"/>
      <c r="BJ5" s="41"/>
      <c r="BK5" s="210"/>
      <c r="BL5" s="286"/>
      <c r="BM5" s="41"/>
      <c r="BN5" s="216"/>
      <c r="BO5" s="205"/>
      <c r="BP5" s="205"/>
      <c r="BQ5" s="205"/>
      <c r="BR5" s="205"/>
      <c r="BS5" s="205"/>
      <c r="BT5" s="216"/>
      <c r="BU5" s="205">
        <v>129</v>
      </c>
      <c r="BV5" s="205">
        <v>34</v>
      </c>
      <c r="BW5" s="205">
        <v>621</v>
      </c>
      <c r="BX5" s="400">
        <v>564</v>
      </c>
      <c r="BY5" s="400">
        <v>372</v>
      </c>
      <c r="BZ5" s="235">
        <v>1203</v>
      </c>
      <c r="CA5" s="41"/>
      <c r="CB5" s="41"/>
      <c r="CC5" s="205"/>
      <c r="CD5" s="205"/>
      <c r="CE5" s="205"/>
      <c r="CF5" s="216"/>
      <c r="CG5" s="205">
        <v>36</v>
      </c>
      <c r="CH5" s="205">
        <v>12</v>
      </c>
      <c r="CI5" s="39">
        <v>32</v>
      </c>
      <c r="CJ5" s="400">
        <v>93</v>
      </c>
      <c r="CK5" s="400">
        <v>9</v>
      </c>
      <c r="CL5" s="235">
        <v>38</v>
      </c>
      <c r="CM5" s="41"/>
      <c r="CN5" s="41"/>
      <c r="CO5" s="39"/>
      <c r="CP5" s="205"/>
      <c r="CQ5" s="205"/>
      <c r="CR5" s="282"/>
      <c r="CS5" s="41">
        <f aca="true" t="shared" si="5" ref="CS5:CX6">(BI5+BO5+BU5+(CA5/0.212)+(CG5/0.55)+(CM5/0.635))</f>
        <v>194.45454545454544</v>
      </c>
      <c r="CT5" s="41">
        <f t="shared" si="5"/>
        <v>55.81818181818181</v>
      </c>
      <c r="CU5" s="41">
        <f t="shared" si="5"/>
        <v>679.1818181818181</v>
      </c>
      <c r="CV5" s="41">
        <f t="shared" si="5"/>
        <v>733.090909090909</v>
      </c>
      <c r="CW5" s="41">
        <f t="shared" si="5"/>
        <v>388.3636363636364</v>
      </c>
      <c r="CX5" s="237">
        <f t="shared" si="5"/>
        <v>1272.090909090909</v>
      </c>
      <c r="CY5" s="41">
        <f aca="true" t="shared" si="6" ref="CY5:DA6">CS5*1000/0.45359237/$B5</f>
        <v>5743349.726223138</v>
      </c>
      <c r="CZ5" s="41">
        <f t="shared" si="6"/>
        <v>1648628.6731655013</v>
      </c>
      <c r="DA5" s="41">
        <f t="shared" si="6"/>
        <v>20060105.565504007</v>
      </c>
      <c r="DB5" s="41">
        <f aca="true" t="shared" si="7" ref="DB5:DD6">CV5*1000/0.45359237/$B5</f>
        <v>21652347.915971663</v>
      </c>
      <c r="DC5" s="41">
        <f t="shared" si="7"/>
        <v>11470589.074532608</v>
      </c>
      <c r="DD5" s="237">
        <f t="shared" si="7"/>
        <v>37572086.35766264</v>
      </c>
      <c r="DE5" s="39">
        <f aca="true" t="shared" si="8" ref="DE5:DP7">AW5-CS5</f>
        <v>3728.181818181818</v>
      </c>
      <c r="DF5" s="39">
        <f t="shared" si="8"/>
        <v>4646.636363636363</v>
      </c>
      <c r="DG5" s="39">
        <f t="shared" si="8"/>
        <v>4013.636363636364</v>
      </c>
      <c r="DH5" s="39">
        <f t="shared" si="8"/>
        <v>4690.272727272727</v>
      </c>
      <c r="DI5" s="39">
        <f t="shared" si="8"/>
        <v>5701</v>
      </c>
      <c r="DJ5" s="243">
        <f t="shared" si="8"/>
        <v>4237.909090909091</v>
      </c>
      <c r="DK5" s="39">
        <f t="shared" si="8"/>
        <v>110114433.0399303</v>
      </c>
      <c r="DL5" s="39">
        <f t="shared" si="8"/>
        <v>137241624.38356394</v>
      </c>
      <c r="DM5" s="39">
        <f t="shared" si="8"/>
        <v>118545530.81475061</v>
      </c>
      <c r="DN5" s="39">
        <f t="shared" si="8"/>
        <v>138530454.6166575</v>
      </c>
      <c r="DO5" s="39">
        <f t="shared" si="8"/>
        <v>168382984.8906869</v>
      </c>
      <c r="DP5" s="243">
        <f t="shared" si="8"/>
        <v>125169581.20025435</v>
      </c>
      <c r="DQ5" s="39">
        <f>DK5+Commerical!I5</f>
        <v>193203649.8469224</v>
      </c>
      <c r="DR5" s="39">
        <f>DL5+Commerical!J5</f>
        <v>174954643.62117803</v>
      </c>
      <c r="DS5" s="39">
        <f>DM5+Commerical!K5</f>
        <v>222427147.5708642</v>
      </c>
      <c r="DT5" s="39">
        <f>DN5+Commerical!L5</f>
        <v>572049314.1228582</v>
      </c>
      <c r="DU5" s="39">
        <f>DO5+Commerical!M5</f>
        <v>479934055.00461805</v>
      </c>
      <c r="DV5" s="243">
        <f>DP5+Commerical!N5</f>
        <v>507886391.34623027</v>
      </c>
      <c r="DW5" s="39"/>
      <c r="DX5" s="39"/>
      <c r="DY5" s="38"/>
      <c r="DZ5" s="217"/>
      <c r="EA5" s="546"/>
      <c r="EB5" s="38"/>
      <c r="ED5" s="38"/>
    </row>
    <row r="6" spans="1:134" ht="12.75">
      <c r="A6" s="88" t="s">
        <v>172</v>
      </c>
      <c r="B6" s="29">
        <f>Commerical!B6</f>
        <v>1.5933248599264</v>
      </c>
      <c r="C6" s="41">
        <v>96</v>
      </c>
      <c r="D6" s="397">
        <v>78</v>
      </c>
      <c r="E6" s="398">
        <v>35</v>
      </c>
      <c r="F6" s="398">
        <v>392</v>
      </c>
      <c r="G6" s="494">
        <v>226</v>
      </c>
      <c r="H6" s="401"/>
      <c r="I6" s="205"/>
      <c r="J6" s="205"/>
      <c r="K6" s="205"/>
      <c r="L6" s="216"/>
      <c r="M6" s="205"/>
      <c r="N6" s="205"/>
      <c r="O6" s="205"/>
      <c r="P6" s="205"/>
      <c r="Q6" s="205"/>
      <c r="R6" s="271"/>
      <c r="S6" s="205"/>
      <c r="T6" s="205"/>
      <c r="U6" s="205"/>
      <c r="V6" s="205"/>
      <c r="W6" s="205"/>
      <c r="X6" s="216"/>
      <c r="Y6" s="205"/>
      <c r="Z6" s="205"/>
      <c r="AA6" s="205"/>
      <c r="AB6" s="205"/>
      <c r="AC6" s="38"/>
      <c r="AD6" s="41"/>
      <c r="AE6" s="616"/>
      <c r="AF6" s="205"/>
      <c r="AG6" s="205"/>
      <c r="AH6" s="205"/>
      <c r="AI6" s="205"/>
      <c r="AJ6" s="216"/>
      <c r="AK6" s="205"/>
      <c r="AL6" s="205"/>
      <c r="AM6" s="400"/>
      <c r="AN6" s="400"/>
      <c r="AO6" s="286"/>
      <c r="AP6" s="618"/>
      <c r="AR6" s="286"/>
      <c r="AS6" s="205"/>
      <c r="AT6" s="205"/>
      <c r="AU6" s="205"/>
      <c r="AV6" s="235"/>
      <c r="AW6" s="41">
        <f t="shared" si="0"/>
        <v>96</v>
      </c>
      <c r="AX6" s="41">
        <f t="shared" si="0"/>
        <v>78</v>
      </c>
      <c r="AY6" s="41">
        <f t="shared" si="1"/>
        <v>35</v>
      </c>
      <c r="AZ6" s="41">
        <f t="shared" si="2"/>
        <v>392</v>
      </c>
      <c r="BA6" s="41">
        <f t="shared" si="2"/>
        <v>226</v>
      </c>
      <c r="BB6" s="237">
        <f>(R6+X6+AD6+(AJ6/0.212)+(AP6/0.55)+(AV6/0.635))</f>
        <v>0</v>
      </c>
      <c r="BC6" s="41">
        <f t="shared" si="3"/>
        <v>132831.52546007402</v>
      </c>
      <c r="BD6" s="41">
        <f t="shared" si="3"/>
        <v>107925.61443631013</v>
      </c>
      <c r="BE6" s="41">
        <f t="shared" si="3"/>
        <v>48428.160323985314</v>
      </c>
      <c r="BF6" s="41">
        <f t="shared" si="3"/>
        <v>542395.3956286355</v>
      </c>
      <c r="BG6" s="41">
        <f t="shared" si="4"/>
        <v>312707.5495205909</v>
      </c>
      <c r="BH6" s="237">
        <f t="shared" si="4"/>
        <v>0</v>
      </c>
      <c r="BI6" s="41">
        <v>21853</v>
      </c>
      <c r="BJ6" s="41">
        <v>25732</v>
      </c>
      <c r="BK6" s="41">
        <v>27068</v>
      </c>
      <c r="BL6" s="401">
        <v>10134</v>
      </c>
      <c r="BM6" s="401">
        <v>21164</v>
      </c>
      <c r="BN6" s="216"/>
      <c r="BO6" s="205"/>
      <c r="BP6" s="205"/>
      <c r="BQ6" s="205"/>
      <c r="BR6" s="205"/>
      <c r="BS6" s="205"/>
      <c r="BT6" s="216"/>
      <c r="BU6" s="205"/>
      <c r="BV6" s="286"/>
      <c r="BW6" s="205"/>
      <c r="BX6" s="205"/>
      <c r="BY6" s="205"/>
      <c r="BZ6" s="235"/>
      <c r="CA6" s="41"/>
      <c r="CB6" s="41"/>
      <c r="CC6" s="205"/>
      <c r="CD6" s="205"/>
      <c r="CE6" s="205"/>
      <c r="CF6" s="216"/>
      <c r="CG6" s="205"/>
      <c r="CH6" s="286"/>
      <c r="CI6" s="39"/>
      <c r="CJ6" s="400"/>
      <c r="CK6" s="286"/>
      <c r="CL6" s="618"/>
      <c r="CM6" s="286"/>
      <c r="CN6" s="286"/>
      <c r="CO6" s="39"/>
      <c r="CP6" s="205"/>
      <c r="CQ6" s="205"/>
      <c r="CR6" s="282"/>
      <c r="CS6" s="41">
        <f t="shared" si="5"/>
        <v>21853</v>
      </c>
      <c r="CT6" s="41">
        <f t="shared" si="5"/>
        <v>25732</v>
      </c>
      <c r="CU6" s="41">
        <f t="shared" si="5"/>
        <v>27068</v>
      </c>
      <c r="CV6" s="41">
        <f t="shared" si="5"/>
        <v>10134</v>
      </c>
      <c r="CW6" s="41">
        <f t="shared" si="5"/>
        <v>21164</v>
      </c>
      <c r="CX6" s="237">
        <f t="shared" si="5"/>
        <v>0</v>
      </c>
      <c r="CY6" s="41">
        <f t="shared" si="6"/>
        <v>30237159.644572888</v>
      </c>
      <c r="CZ6" s="41">
        <f t="shared" si="6"/>
        <v>35604383.470194004</v>
      </c>
      <c r="DA6" s="41">
        <f t="shared" si="6"/>
        <v>37452955.532846704</v>
      </c>
      <c r="DB6" s="41">
        <f t="shared" si="7"/>
        <v>14022027.906379063</v>
      </c>
      <c r="DC6" s="41">
        <f t="shared" si="7"/>
        <v>29283816.71705215</v>
      </c>
      <c r="DD6" s="237">
        <f t="shared" si="7"/>
        <v>0</v>
      </c>
      <c r="DE6" s="39">
        <f t="shared" si="8"/>
        <v>-21757</v>
      </c>
      <c r="DF6" s="39">
        <f t="shared" si="8"/>
        <v>-25654</v>
      </c>
      <c r="DG6" s="39">
        <f t="shared" si="8"/>
        <v>-27033</v>
      </c>
      <c r="DH6" s="39">
        <f t="shared" si="8"/>
        <v>-9742</v>
      </c>
      <c r="DI6" s="39">
        <f t="shared" si="8"/>
        <v>-20938</v>
      </c>
      <c r="DJ6" s="243">
        <f t="shared" si="8"/>
        <v>0</v>
      </c>
      <c r="DK6" s="39">
        <f t="shared" si="8"/>
        <v>-30104328.119112812</v>
      </c>
      <c r="DL6" s="39">
        <f t="shared" si="8"/>
        <v>-35496457.85575769</v>
      </c>
      <c r="DM6" s="39">
        <f t="shared" si="8"/>
        <v>-37404527.37252272</v>
      </c>
      <c r="DN6" s="39">
        <f t="shared" si="8"/>
        <v>-13479632.510750428</v>
      </c>
      <c r="DO6" s="39">
        <f t="shared" si="8"/>
        <v>-28971109.16753156</v>
      </c>
      <c r="DP6" s="243">
        <f t="shared" si="8"/>
        <v>0</v>
      </c>
      <c r="DQ6" s="39">
        <f>DK6+Commerical!I6</f>
        <v>40562993.29906999</v>
      </c>
      <c r="DR6" s="39">
        <f>DL6+Commerical!J6</f>
        <v>55637499.60142242</v>
      </c>
      <c r="DS6" s="39">
        <f>DM6+Commerical!K6</f>
        <v>61060640.62042948</v>
      </c>
      <c r="DT6" s="39">
        <f>DN6+Commerical!L6</f>
        <v>66246105.2812701</v>
      </c>
      <c r="DU6" s="39">
        <f>DO6+Commerical!M6</f>
        <v>50711950.573257685</v>
      </c>
      <c r="DV6" s="243">
        <f>DP6+Commerical!N6</f>
        <v>82101273.43776125</v>
      </c>
      <c r="DW6" s="39"/>
      <c r="DX6" s="39"/>
      <c r="DY6" s="38"/>
      <c r="DZ6" s="38"/>
      <c r="EA6" s="546"/>
      <c r="EB6" s="38"/>
      <c r="ED6" s="38"/>
    </row>
    <row r="7" spans="1:134" ht="12.75">
      <c r="A7" s="88" t="s">
        <v>695</v>
      </c>
      <c r="B7" s="29">
        <f>B105</f>
        <v>1.4514407438636276</v>
      </c>
      <c r="C7" s="41">
        <v>1723</v>
      </c>
      <c r="D7" s="205">
        <v>1543</v>
      </c>
      <c r="E7" s="397">
        <v>786</v>
      </c>
      <c r="F7" s="397">
        <v>1189</v>
      </c>
      <c r="G7" s="494">
        <v>853</v>
      </c>
      <c r="H7" s="401"/>
      <c r="I7" s="205"/>
      <c r="J7" s="205"/>
      <c r="K7" s="205"/>
      <c r="L7" s="216"/>
      <c r="M7" s="205"/>
      <c r="N7" s="205"/>
      <c r="O7" s="205"/>
      <c r="P7" s="205"/>
      <c r="Q7" s="205"/>
      <c r="R7" s="271">
        <v>853</v>
      </c>
      <c r="S7" s="205"/>
      <c r="T7" s="205"/>
      <c r="U7" s="205"/>
      <c r="V7" s="205"/>
      <c r="W7" s="205"/>
      <c r="X7" s="216"/>
      <c r="Y7" s="205"/>
      <c r="Z7" s="205"/>
      <c r="AA7" s="205"/>
      <c r="AB7" s="205"/>
      <c r="AC7" s="38"/>
      <c r="AD7" s="41"/>
      <c r="AE7" s="616"/>
      <c r="AF7" s="205"/>
      <c r="AG7" s="205"/>
      <c r="AH7" s="205"/>
      <c r="AI7" s="205"/>
      <c r="AJ7" s="216"/>
      <c r="AK7" s="205"/>
      <c r="AL7" s="205"/>
      <c r="AM7" s="400"/>
      <c r="AN7" s="400"/>
      <c r="AO7" s="286"/>
      <c r="AP7" s="618"/>
      <c r="AR7" s="286"/>
      <c r="AS7" s="205"/>
      <c r="AT7" s="205"/>
      <c r="AU7" s="205"/>
      <c r="AV7" s="235"/>
      <c r="AW7" s="41">
        <f t="shared" si="0"/>
        <v>1723</v>
      </c>
      <c r="AX7" s="41">
        <f t="shared" si="0"/>
        <v>1543</v>
      </c>
      <c r="AY7" s="41">
        <f t="shared" si="1"/>
        <v>786</v>
      </c>
      <c r="AZ7" s="41">
        <f t="shared" si="2"/>
        <v>1189</v>
      </c>
      <c r="BA7" s="41">
        <f t="shared" si="2"/>
        <v>853</v>
      </c>
      <c r="BB7" s="237">
        <f>(R7+X7+AD7+(AJ7/0.212)+(AP7/0.55)+(AV7/0.635))</f>
        <v>853</v>
      </c>
      <c r="BC7" s="41">
        <f t="shared" si="3"/>
        <v>2617099.4534258028</v>
      </c>
      <c r="BD7" s="41">
        <f t="shared" si="3"/>
        <v>2343693.8227719176</v>
      </c>
      <c r="BE7" s="41">
        <f t="shared" si="3"/>
        <v>1193871.2538552994</v>
      </c>
      <c r="BF7" s="41">
        <f t="shared" si="3"/>
        <v>1805996.0824859429</v>
      </c>
      <c r="BG7" s="41">
        <f t="shared" si="4"/>
        <v>1295638.9052653566</v>
      </c>
      <c r="BH7" s="237">
        <f t="shared" si="4"/>
        <v>1295638.9052653566</v>
      </c>
      <c r="BI7" s="41"/>
      <c r="BJ7" s="41"/>
      <c r="BK7" s="41"/>
      <c r="BL7" s="286"/>
      <c r="BM7" s="286"/>
      <c r="BN7" s="216"/>
      <c r="BO7" s="205"/>
      <c r="BP7" s="205"/>
      <c r="BQ7" s="205"/>
      <c r="BR7" s="205"/>
      <c r="BS7" s="205"/>
      <c r="BT7" s="216"/>
      <c r="BU7" s="205"/>
      <c r="BV7" s="286"/>
      <c r="BW7" s="205"/>
      <c r="BX7" s="205"/>
      <c r="BY7" s="205"/>
      <c r="BZ7" s="235"/>
      <c r="CA7" s="41"/>
      <c r="CB7" s="41"/>
      <c r="CC7" s="205"/>
      <c r="CD7" s="205"/>
      <c r="CE7" s="205"/>
      <c r="CF7" s="216"/>
      <c r="CG7" s="205"/>
      <c r="CH7" s="286"/>
      <c r="CI7" s="39"/>
      <c r="CJ7" s="400"/>
      <c r="CK7" s="286"/>
      <c r="CL7" s="618"/>
      <c r="CM7" s="286"/>
      <c r="CN7" s="286"/>
      <c r="CO7" s="39"/>
      <c r="CP7" s="205"/>
      <c r="CQ7" s="205"/>
      <c r="CR7" s="282"/>
      <c r="CS7" s="205"/>
      <c r="CT7" s="41"/>
      <c r="CU7" s="41"/>
      <c r="CV7" s="41"/>
      <c r="CW7" s="41"/>
      <c r="CX7" s="237"/>
      <c r="CY7" s="41"/>
      <c r="CZ7" s="41"/>
      <c r="DA7" s="39"/>
      <c r="DB7" s="41"/>
      <c r="DC7" s="41"/>
      <c r="DD7" s="237"/>
      <c r="DE7" s="39">
        <f t="shared" si="8"/>
        <v>1723</v>
      </c>
      <c r="DF7" s="39">
        <f t="shared" si="8"/>
        <v>1543</v>
      </c>
      <c r="DG7" s="39">
        <f t="shared" si="8"/>
        <v>786</v>
      </c>
      <c r="DH7" s="39">
        <f t="shared" si="8"/>
        <v>1189</v>
      </c>
      <c r="DI7" s="39">
        <f t="shared" si="8"/>
        <v>853</v>
      </c>
      <c r="DJ7" s="243">
        <f t="shared" si="8"/>
        <v>853</v>
      </c>
      <c r="DK7" s="39">
        <f t="shared" si="8"/>
        <v>2617099.4534258028</v>
      </c>
      <c r="DL7" s="39">
        <f t="shared" si="8"/>
        <v>2343693.8227719176</v>
      </c>
      <c r="DM7" s="39">
        <f t="shared" si="8"/>
        <v>1193871.2538552994</v>
      </c>
      <c r="DN7" s="39">
        <f t="shared" si="8"/>
        <v>1805996.0824859429</v>
      </c>
      <c r="DO7" s="39">
        <f t="shared" si="8"/>
        <v>1295638.9052653566</v>
      </c>
      <c r="DP7" s="243">
        <f t="shared" si="8"/>
        <v>1295638.9052653566</v>
      </c>
      <c r="DQ7" s="39">
        <f>DK7+Commerical!I7</f>
        <v>2617099.4534258028</v>
      </c>
      <c r="DR7" s="39">
        <f>DL7+Commerical!J7</f>
        <v>2343693.8227719176</v>
      </c>
      <c r="DS7" s="39">
        <f>DM7+Commerical!K7</f>
        <v>1193871.2538552994</v>
      </c>
      <c r="DT7" s="39">
        <f>DN7+Commerical!L7</f>
        <v>1805996.0824859429</v>
      </c>
      <c r="DU7" s="39">
        <f>DO7+Commerical!M7</f>
        <v>1295638.9052653566</v>
      </c>
      <c r="DV7" s="243">
        <f>DP7+Commerical!N7</f>
        <v>1295638.9052653566</v>
      </c>
      <c r="DW7" s="39"/>
      <c r="DX7" s="39"/>
      <c r="DY7" s="38"/>
      <c r="DZ7" s="38"/>
      <c r="EA7" s="546"/>
      <c r="EB7" s="38"/>
      <c r="EC7" s="38"/>
      <c r="ED7" s="38"/>
    </row>
    <row r="8" spans="1:134" ht="12.75">
      <c r="A8" s="88" t="s">
        <v>173</v>
      </c>
      <c r="B8" s="29">
        <f>Commerical!B8</f>
        <v>4.691477499645035</v>
      </c>
      <c r="C8" s="41"/>
      <c r="D8" s="397"/>
      <c r="E8" s="397"/>
      <c r="F8" s="397"/>
      <c r="G8" s="494"/>
      <c r="H8" s="401"/>
      <c r="I8" s="205"/>
      <c r="J8" s="205"/>
      <c r="K8" s="205"/>
      <c r="L8" s="216"/>
      <c r="M8" s="205"/>
      <c r="N8" s="205"/>
      <c r="O8" s="205"/>
      <c r="P8" s="205"/>
      <c r="Q8" s="205"/>
      <c r="R8" s="271"/>
      <c r="S8" s="205"/>
      <c r="T8" s="205"/>
      <c r="U8" s="205"/>
      <c r="V8" s="205"/>
      <c r="W8" s="205"/>
      <c r="X8" s="216"/>
      <c r="Y8" s="205"/>
      <c r="Z8" s="205"/>
      <c r="AA8" s="205"/>
      <c r="AB8" s="205"/>
      <c r="AC8" s="38"/>
      <c r="AD8" s="41"/>
      <c r="AE8" s="616"/>
      <c r="AF8" s="205"/>
      <c r="AG8" s="205"/>
      <c r="AH8" s="205"/>
      <c r="AI8" s="205"/>
      <c r="AJ8" s="216"/>
      <c r="AK8" s="205"/>
      <c r="AL8" s="205"/>
      <c r="AM8" s="400"/>
      <c r="AN8" s="400"/>
      <c r="AO8" s="286"/>
      <c r="AP8" s="618"/>
      <c r="AR8" s="286"/>
      <c r="AS8" s="205"/>
      <c r="AT8" s="205"/>
      <c r="AU8" s="205"/>
      <c r="AV8" s="235"/>
      <c r="AW8" s="41"/>
      <c r="AX8" s="41"/>
      <c r="AY8" s="41"/>
      <c r="AZ8" s="41"/>
      <c r="BA8" s="41"/>
      <c r="BB8" s="237"/>
      <c r="BC8" s="41"/>
      <c r="BD8" s="41"/>
      <c r="BE8" s="210"/>
      <c r="BF8" s="41"/>
      <c r="BG8" s="41"/>
      <c r="BH8" s="224"/>
      <c r="BI8" s="210"/>
      <c r="BJ8" s="210"/>
      <c r="BK8" s="41"/>
      <c r="BL8" s="286"/>
      <c r="BM8" s="41"/>
      <c r="BN8" s="216"/>
      <c r="BO8" s="205"/>
      <c r="BP8" s="205"/>
      <c r="BQ8" s="205"/>
      <c r="BR8" s="205"/>
      <c r="BS8" s="205"/>
      <c r="BT8" s="216"/>
      <c r="BU8" s="205"/>
      <c r="BV8" s="286"/>
      <c r="BW8" s="205"/>
      <c r="BX8" s="205"/>
      <c r="BY8" s="205"/>
      <c r="BZ8" s="235"/>
      <c r="CA8" s="41"/>
      <c r="CB8" s="41"/>
      <c r="CC8" s="205"/>
      <c r="CD8" s="205"/>
      <c r="CE8" s="205"/>
      <c r="CF8" s="216"/>
      <c r="CG8" s="205"/>
      <c r="CH8" s="286"/>
      <c r="CI8" s="39"/>
      <c r="CJ8" s="400"/>
      <c r="CK8" s="286"/>
      <c r="CL8" s="618"/>
      <c r="CM8" s="286"/>
      <c r="CN8" s="286"/>
      <c r="CO8" s="39"/>
      <c r="CP8" s="205"/>
      <c r="CQ8" s="205"/>
      <c r="CR8" s="282"/>
      <c r="CS8" s="205"/>
      <c r="CT8" s="41"/>
      <c r="CU8" s="41"/>
      <c r="CV8" s="41"/>
      <c r="CW8" s="41"/>
      <c r="CX8" s="237"/>
      <c r="CY8" s="41"/>
      <c r="CZ8" s="41"/>
      <c r="DA8" s="39"/>
      <c r="DB8" s="41"/>
      <c r="DC8" s="41"/>
      <c r="DD8" s="224"/>
      <c r="DE8" s="210"/>
      <c r="DF8" s="39"/>
      <c r="DG8" s="39"/>
      <c r="DH8" s="39"/>
      <c r="DI8" s="39"/>
      <c r="DJ8" s="243"/>
      <c r="DK8" s="39"/>
      <c r="DL8" s="39"/>
      <c r="DM8" s="39"/>
      <c r="DN8" s="39"/>
      <c r="DO8" s="39"/>
      <c r="DP8" s="243"/>
      <c r="DQ8" s="39">
        <f>DK8+Commerical!I8</f>
        <v>1177027.919331981</v>
      </c>
      <c r="DR8" s="39">
        <f>DL8+Commerical!J8</f>
        <v>1574344.1166580971</v>
      </c>
      <c r="DS8" s="39">
        <f>DM8+Commerical!K8</f>
        <v>1504216.9552201722</v>
      </c>
      <c r="DT8" s="39">
        <f>DN8+Commerical!L8</f>
        <v>1310461.3632837776</v>
      </c>
      <c r="DU8" s="39">
        <f>DO8+Commerical!M8</f>
        <v>1633387.3498444352</v>
      </c>
      <c r="DV8" s="243">
        <f>DP8+Commerical!N8</f>
        <v>1516153.4933372657</v>
      </c>
      <c r="DW8" s="39"/>
      <c r="DX8" s="39"/>
      <c r="DY8" s="38"/>
      <c r="DZ8" s="38"/>
      <c r="EA8" s="546"/>
      <c r="EB8" s="38"/>
      <c r="EC8" s="38"/>
      <c r="ED8" s="38"/>
    </row>
    <row r="9" spans="1:134" ht="12.75">
      <c r="A9" s="88" t="s">
        <v>174</v>
      </c>
      <c r="B9" s="29">
        <f>Commerical!B9</f>
        <v>2.56709616174437</v>
      </c>
      <c r="C9" s="41"/>
      <c r="D9" s="397"/>
      <c r="E9" s="397"/>
      <c r="F9" s="397"/>
      <c r="G9" s="494"/>
      <c r="H9" s="401"/>
      <c r="I9" s="205"/>
      <c r="J9" s="205"/>
      <c r="K9" s="205"/>
      <c r="L9" s="216"/>
      <c r="M9" s="205"/>
      <c r="N9" s="205"/>
      <c r="O9" s="205"/>
      <c r="P9" s="205"/>
      <c r="Q9" s="205"/>
      <c r="R9" s="271"/>
      <c r="S9" s="205"/>
      <c r="U9" s="205"/>
      <c r="V9" s="205"/>
      <c r="W9" s="205"/>
      <c r="X9" s="216"/>
      <c r="Y9" s="205"/>
      <c r="Z9" s="205"/>
      <c r="AA9" s="205"/>
      <c r="AB9" s="205"/>
      <c r="AC9" s="38"/>
      <c r="AD9" s="41"/>
      <c r="AE9" s="616"/>
      <c r="AF9" s="205"/>
      <c r="AG9" s="205"/>
      <c r="AH9" s="205"/>
      <c r="AI9" s="205"/>
      <c r="AJ9" s="216"/>
      <c r="AK9" s="205"/>
      <c r="AL9" s="205"/>
      <c r="AM9" s="400"/>
      <c r="AN9" s="400"/>
      <c r="AO9" s="286"/>
      <c r="AP9" s="618"/>
      <c r="AR9" s="286"/>
      <c r="AS9" s="205"/>
      <c r="AT9" s="205"/>
      <c r="AU9" s="205"/>
      <c r="AV9" s="235"/>
      <c r="AW9" s="41"/>
      <c r="AX9" s="41"/>
      <c r="AY9" s="41"/>
      <c r="AZ9" s="41"/>
      <c r="BA9" s="41"/>
      <c r="BB9" s="237"/>
      <c r="BC9" s="41"/>
      <c r="BD9" s="41"/>
      <c r="BE9" s="210"/>
      <c r="BF9" s="41"/>
      <c r="BG9" s="41"/>
      <c r="BH9" s="224"/>
      <c r="BI9" s="210"/>
      <c r="BJ9" s="210"/>
      <c r="BK9" s="41"/>
      <c r="BL9" s="286"/>
      <c r="BM9" s="41"/>
      <c r="BN9" s="216"/>
      <c r="BO9" s="205"/>
      <c r="BP9" s="205"/>
      <c r="BQ9" s="205"/>
      <c r="BR9" s="205"/>
      <c r="BS9" s="205"/>
      <c r="BT9" s="216"/>
      <c r="BU9" s="205"/>
      <c r="BV9" s="205"/>
      <c r="BW9" s="205"/>
      <c r="BX9" s="205"/>
      <c r="BY9" s="205"/>
      <c r="BZ9" s="235"/>
      <c r="CA9" s="41"/>
      <c r="CB9" s="41"/>
      <c r="CC9" s="205"/>
      <c r="CD9" s="205"/>
      <c r="CE9" s="205"/>
      <c r="CF9" s="216"/>
      <c r="CG9" s="205"/>
      <c r="CH9" s="205"/>
      <c r="CI9" s="39"/>
      <c r="CJ9" s="400"/>
      <c r="CK9" s="286"/>
      <c r="CL9" s="618"/>
      <c r="CM9" s="286"/>
      <c r="CN9" s="286"/>
      <c r="CO9" s="39"/>
      <c r="CP9" s="205"/>
      <c r="CQ9" s="205"/>
      <c r="CR9" s="282"/>
      <c r="CS9" s="205"/>
      <c r="CT9" s="41"/>
      <c r="CU9" s="41"/>
      <c r="CV9" s="41"/>
      <c r="CW9" s="41"/>
      <c r="CX9" s="237"/>
      <c r="CY9" s="41"/>
      <c r="CZ9" s="41"/>
      <c r="DA9" s="39"/>
      <c r="DB9" s="41"/>
      <c r="DC9" s="41"/>
      <c r="DD9" s="224"/>
      <c r="DE9" s="210"/>
      <c r="DF9" s="39"/>
      <c r="DG9" s="39"/>
      <c r="DH9" s="39"/>
      <c r="DI9" s="39"/>
      <c r="DJ9" s="243"/>
      <c r="DK9" s="39"/>
      <c r="DL9" s="39"/>
      <c r="DM9" s="39"/>
      <c r="DN9" s="39"/>
      <c r="DO9" s="39"/>
      <c r="DP9" s="243"/>
      <c r="DQ9" s="39">
        <f>DK9+Commerical!I9</f>
        <v>116084.47102250572</v>
      </c>
      <c r="DR9" s="39">
        <f>DL9+Commerical!J9</f>
        <v>104787.66008407396</v>
      </c>
      <c r="DS9" s="39">
        <f>DM9+Commerical!K9</f>
        <v>130497.64359912556</v>
      </c>
      <c r="DT9" s="39">
        <f>DN9+Commerical!L9</f>
        <v>134003.55044208714</v>
      </c>
      <c r="DU9" s="39">
        <f>DO9+Commerical!M9</f>
        <v>142963.09015187784</v>
      </c>
      <c r="DV9" s="243">
        <f>DP9+Commerical!N9</f>
        <v>109851.74774612958</v>
      </c>
      <c r="DW9" s="39"/>
      <c r="DX9" s="39"/>
      <c r="DY9" s="38"/>
      <c r="DZ9" s="38"/>
      <c r="EA9" s="546"/>
      <c r="EB9" s="38"/>
      <c r="EC9" s="38"/>
      <c r="ED9" s="38"/>
    </row>
    <row r="10" spans="1:134" ht="12.75">
      <c r="A10" s="88" t="s">
        <v>175</v>
      </c>
      <c r="B10" s="29">
        <f>Commerical!B10</f>
        <v>2.04</v>
      </c>
      <c r="C10" s="41"/>
      <c r="D10" s="397"/>
      <c r="E10" s="397"/>
      <c r="F10" s="397"/>
      <c r="G10" s="494"/>
      <c r="H10" s="401"/>
      <c r="I10" s="205"/>
      <c r="J10" s="205"/>
      <c r="K10" s="205"/>
      <c r="L10" s="216"/>
      <c r="M10" s="205"/>
      <c r="N10" s="205"/>
      <c r="O10" s="205"/>
      <c r="P10" s="205"/>
      <c r="Q10" s="205"/>
      <c r="R10" s="271"/>
      <c r="S10" s="205"/>
      <c r="U10" s="205"/>
      <c r="V10" s="205"/>
      <c r="W10" s="205"/>
      <c r="X10" s="216"/>
      <c r="Y10" s="205"/>
      <c r="AB10" s="38"/>
      <c r="AC10" s="38"/>
      <c r="AD10" s="38"/>
      <c r="AE10" s="619"/>
      <c r="AF10" s="205"/>
      <c r="AG10" s="205"/>
      <c r="AH10" s="205"/>
      <c r="AI10" s="205"/>
      <c r="AJ10" s="216"/>
      <c r="AK10" s="205"/>
      <c r="AL10" s="205"/>
      <c r="AM10" s="400"/>
      <c r="AN10" s="400"/>
      <c r="AO10" s="286"/>
      <c r="AP10" s="618"/>
      <c r="AR10" s="286"/>
      <c r="AS10" s="205"/>
      <c r="AT10" s="205"/>
      <c r="AU10" s="205"/>
      <c r="AV10" s="235"/>
      <c r="AW10" s="41"/>
      <c r="AX10" s="41"/>
      <c r="AY10" s="41"/>
      <c r="AZ10" s="41"/>
      <c r="BA10" s="41"/>
      <c r="BB10" s="237"/>
      <c r="BC10" s="41"/>
      <c r="BD10" s="41"/>
      <c r="BE10" s="210"/>
      <c r="BF10" s="41"/>
      <c r="BG10" s="41"/>
      <c r="BH10" s="224"/>
      <c r="BI10" s="210"/>
      <c r="BJ10" s="210"/>
      <c r="BK10" s="41"/>
      <c r="BL10" s="286"/>
      <c r="BM10" s="41"/>
      <c r="BN10" s="216"/>
      <c r="BO10" s="205"/>
      <c r="BP10" s="205"/>
      <c r="BQ10" s="205"/>
      <c r="BR10" s="205"/>
      <c r="BS10" s="205"/>
      <c r="BT10" s="216"/>
      <c r="BU10" s="205"/>
      <c r="BV10" s="286"/>
      <c r="BW10" s="205"/>
      <c r="BX10" s="38"/>
      <c r="BY10" s="38"/>
      <c r="BZ10" s="238"/>
      <c r="CA10" s="38"/>
      <c r="CB10" s="38"/>
      <c r="CC10" s="205"/>
      <c r="CD10" s="205"/>
      <c r="CE10" s="205"/>
      <c r="CF10" s="216"/>
      <c r="CG10" s="205"/>
      <c r="CH10" s="205"/>
      <c r="CI10" s="39"/>
      <c r="CJ10" s="41"/>
      <c r="CK10" s="41"/>
      <c r="CL10" s="498"/>
      <c r="CM10" s="39"/>
      <c r="CN10" s="39"/>
      <c r="CO10" s="39"/>
      <c r="CP10" s="205"/>
      <c r="CQ10" s="205"/>
      <c r="CR10" s="282"/>
      <c r="CS10" s="205"/>
      <c r="CT10" s="41"/>
      <c r="CU10" s="41"/>
      <c r="CV10" s="41"/>
      <c r="CW10" s="41"/>
      <c r="CX10" s="237"/>
      <c r="CY10" s="41"/>
      <c r="CZ10" s="41"/>
      <c r="DA10" s="39"/>
      <c r="DB10" s="41"/>
      <c r="DC10" s="41"/>
      <c r="DD10" s="224"/>
      <c r="DE10" s="210"/>
      <c r="DF10" s="39"/>
      <c r="DG10" s="39"/>
      <c r="DH10" s="39"/>
      <c r="DI10" s="39"/>
      <c r="DJ10" s="243"/>
      <c r="DK10" s="39"/>
      <c r="DL10" s="39"/>
      <c r="DM10" s="39"/>
      <c r="DN10" s="39"/>
      <c r="DO10" s="39"/>
      <c r="DP10" s="243"/>
      <c r="DQ10" s="39">
        <f>DK10+Commerical!I10</f>
        <v>158333.33333333334</v>
      </c>
      <c r="DR10" s="39">
        <f>DL10+Commerical!J10</f>
        <v>50980.39215686274</v>
      </c>
      <c r="DS10" s="39">
        <f>DM10+Commerical!K10</f>
        <v>2347058.8235294116</v>
      </c>
      <c r="DT10" s="39">
        <f>DN10+Commerical!L10</f>
        <v>897058.8235294118</v>
      </c>
      <c r="DU10" s="39">
        <f>DO10+Commerical!M10</f>
        <v>296078.43137254904</v>
      </c>
      <c r="DV10" s="243">
        <f>DP10+Commerical!N10</f>
        <v>2716666.6666666665</v>
      </c>
      <c r="DW10" s="39"/>
      <c r="DX10" s="39"/>
      <c r="DY10" s="38"/>
      <c r="DZ10" s="38"/>
      <c r="EA10" s="546"/>
      <c r="EB10" s="38"/>
      <c r="EC10" s="38"/>
      <c r="ED10" s="38"/>
    </row>
    <row r="11" spans="1:134" ht="12.75">
      <c r="A11" s="88" t="s">
        <v>708</v>
      </c>
      <c r="B11" s="29">
        <f>SUM(Commerical!C10:H10,Commerical!C79:H80,Commerical!C39:H39)*1000/SUM(Commerical!I79:N80,Commerical!I10:N10,Commerical!I39:N39)</f>
        <v>1.3884140126454787</v>
      </c>
      <c r="C11" s="41"/>
      <c r="D11" s="397"/>
      <c r="E11" s="397"/>
      <c r="F11" s="397"/>
      <c r="G11" s="494"/>
      <c r="H11" s="401"/>
      <c r="I11" s="205"/>
      <c r="J11" s="205"/>
      <c r="K11" s="205"/>
      <c r="L11" s="216"/>
      <c r="M11" s="205"/>
      <c r="N11" s="205"/>
      <c r="O11" s="205"/>
      <c r="P11" s="205"/>
      <c r="Q11" s="205"/>
      <c r="R11" s="271"/>
      <c r="S11" s="205"/>
      <c r="T11" s="205"/>
      <c r="U11" s="205"/>
      <c r="V11" s="205"/>
      <c r="W11" s="205"/>
      <c r="X11" s="216"/>
      <c r="Y11" s="205">
        <v>1630</v>
      </c>
      <c r="Z11" s="205">
        <v>749</v>
      </c>
      <c r="AA11" s="205">
        <v>974</v>
      </c>
      <c r="AB11" s="398">
        <v>780</v>
      </c>
      <c r="AC11" s="397">
        <v>1597</v>
      </c>
      <c r="AD11" s="41">
        <v>921</v>
      </c>
      <c r="AE11" s="616"/>
      <c r="AF11" s="205"/>
      <c r="AG11" s="205"/>
      <c r="AH11" s="205"/>
      <c r="AI11" s="205"/>
      <c r="AJ11" s="216"/>
      <c r="AK11" s="205"/>
      <c r="AL11" s="205"/>
      <c r="AM11" s="41"/>
      <c r="AN11" s="41"/>
      <c r="AO11" s="41"/>
      <c r="AP11" s="498"/>
      <c r="AQ11" s="39"/>
      <c r="AR11" s="39"/>
      <c r="AS11" s="205"/>
      <c r="AT11" s="205"/>
      <c r="AU11" s="205"/>
      <c r="AV11" s="235"/>
      <c r="AW11" s="41">
        <f t="shared" si="0"/>
        <v>1630</v>
      </c>
      <c r="AX11" s="41">
        <f t="shared" si="0"/>
        <v>749</v>
      </c>
      <c r="AY11" s="41">
        <f t="shared" si="1"/>
        <v>974</v>
      </c>
      <c r="AZ11" s="41">
        <f aca="true" t="shared" si="9" ref="AZ11:BA13">(F11+K11+P11+V11+AB11+(AH11/0.212)+(AN11/0.55)+(AT11/0.635))</f>
        <v>780</v>
      </c>
      <c r="BA11" s="41">
        <f t="shared" si="9"/>
        <v>1597</v>
      </c>
      <c r="BB11" s="237">
        <f>(R11+X11+AD11+(AJ11/0.212)+(AP11/0.55)+(AV11/0.635))</f>
        <v>921</v>
      </c>
      <c r="BC11" s="41">
        <f aca="true" t="shared" si="10" ref="BC11:BD13">AW11*1000/0.45359237/$B11</f>
        <v>2588230.0530562904</v>
      </c>
      <c r="BD11" s="41">
        <f t="shared" si="10"/>
        <v>1189315.5274473384</v>
      </c>
      <c r="BE11" s="41">
        <f aca="true" t="shared" si="11" ref="BE11:BF13">AY11*1000/0.45359237/$B11</f>
        <v>1546586.547040998</v>
      </c>
      <c r="BF11" s="41">
        <f t="shared" si="11"/>
        <v>1238539.5345913537</v>
      </c>
      <c r="BG11" s="41">
        <f aca="true" t="shared" si="12" ref="BG11:BH13">BA11*1000/0.45359237/$B11</f>
        <v>2535830.303515887</v>
      </c>
      <c r="BH11" s="237">
        <f t="shared" si="12"/>
        <v>1462429.373536714</v>
      </c>
      <c r="BI11" s="41"/>
      <c r="BJ11" s="41"/>
      <c r="BK11" s="41"/>
      <c r="BL11" s="286"/>
      <c r="BM11" s="41"/>
      <c r="BN11" s="216"/>
      <c r="BO11" s="205"/>
      <c r="BP11" s="205"/>
      <c r="BQ11" s="205"/>
      <c r="BR11" s="205"/>
      <c r="BS11" s="205"/>
      <c r="BT11" s="216"/>
      <c r="BU11" s="205"/>
      <c r="BV11" s="286"/>
      <c r="BW11" s="205"/>
      <c r="BX11" s="205"/>
      <c r="BY11" s="205"/>
      <c r="BZ11" s="235"/>
      <c r="CA11" s="41"/>
      <c r="CB11" s="41"/>
      <c r="CC11" s="205"/>
      <c r="CD11" s="205"/>
      <c r="CE11" s="205"/>
      <c r="CF11" s="216"/>
      <c r="CG11" s="205"/>
      <c r="CH11" s="205"/>
      <c r="CI11" s="39"/>
      <c r="CJ11" s="41"/>
      <c r="CK11" s="41"/>
      <c r="CL11" s="498"/>
      <c r="CM11" s="39"/>
      <c r="CN11" s="39"/>
      <c r="CO11" s="39"/>
      <c r="CP11" s="205"/>
      <c r="CQ11" s="205"/>
      <c r="CR11" s="282"/>
      <c r="CS11" s="205"/>
      <c r="CT11" s="41"/>
      <c r="CU11" s="41"/>
      <c r="CV11" s="41"/>
      <c r="CW11" s="41"/>
      <c r="CX11" s="237"/>
      <c r="CY11" s="41"/>
      <c r="CZ11" s="41"/>
      <c r="DA11" s="39"/>
      <c r="DB11" s="41"/>
      <c r="DC11" s="41"/>
      <c r="DD11" s="237"/>
      <c r="DE11" s="39">
        <f aca="true" t="shared" si="13" ref="DE11:DP13">AW11-CS11</f>
        <v>1630</v>
      </c>
      <c r="DF11" s="39">
        <f t="shared" si="13"/>
        <v>749</v>
      </c>
      <c r="DG11" s="39">
        <f t="shared" si="13"/>
        <v>974</v>
      </c>
      <c r="DH11" s="39">
        <f t="shared" si="13"/>
        <v>780</v>
      </c>
      <c r="DI11" s="39">
        <f t="shared" si="13"/>
        <v>1597</v>
      </c>
      <c r="DJ11" s="243">
        <f t="shared" si="13"/>
        <v>921</v>
      </c>
      <c r="DK11" s="39">
        <f t="shared" si="13"/>
        <v>2588230.0530562904</v>
      </c>
      <c r="DL11" s="39">
        <f t="shared" si="13"/>
        <v>1189315.5274473384</v>
      </c>
      <c r="DM11" s="39">
        <f t="shared" si="13"/>
        <v>1546586.547040998</v>
      </c>
      <c r="DN11" s="39">
        <f t="shared" si="13"/>
        <v>1238539.5345913537</v>
      </c>
      <c r="DO11" s="39">
        <f t="shared" si="13"/>
        <v>2535830.303515887</v>
      </c>
      <c r="DP11" s="243">
        <f t="shared" si="13"/>
        <v>1462429.373536714</v>
      </c>
      <c r="DQ11" s="39">
        <f>DK11+Commerical!I11</f>
        <v>2588230.0530562904</v>
      </c>
      <c r="DR11" s="39">
        <f>DL11+Commerical!J11</f>
        <v>1189315.5274473384</v>
      </c>
      <c r="DS11" s="39">
        <f>DM11+Commerical!K11</f>
        <v>1546586.547040998</v>
      </c>
      <c r="DT11" s="39">
        <f>DN11+Commerical!L11</f>
        <v>1238539.5345913537</v>
      </c>
      <c r="DU11" s="39">
        <f>DO11+Commerical!M11</f>
        <v>2535830.303515887</v>
      </c>
      <c r="DV11" s="243">
        <f>DP11+Commerical!N11</f>
        <v>1462429.373536714</v>
      </c>
      <c r="DW11" s="39"/>
      <c r="DY11" s="39"/>
      <c r="DZ11" s="38"/>
      <c r="EB11" s="38"/>
      <c r="EC11" s="38"/>
      <c r="ED11" s="38"/>
    </row>
    <row r="12" spans="1:134" ht="12.75">
      <c r="A12" s="88" t="s">
        <v>176</v>
      </c>
      <c r="B12" s="29">
        <f>Commerical!B12</f>
        <v>0.34369646135</v>
      </c>
      <c r="C12" s="41">
        <v>941</v>
      </c>
      <c r="D12" s="41">
        <v>1037</v>
      </c>
      <c r="E12" s="397">
        <v>1082</v>
      </c>
      <c r="F12" s="397">
        <v>1762</v>
      </c>
      <c r="G12" s="495">
        <v>1943</v>
      </c>
      <c r="H12" s="401"/>
      <c r="I12" s="205"/>
      <c r="J12" s="205"/>
      <c r="K12" s="205"/>
      <c r="L12" s="216"/>
      <c r="M12" s="205"/>
      <c r="N12" s="205"/>
      <c r="O12" s="205"/>
      <c r="P12" s="205"/>
      <c r="Q12" s="205"/>
      <c r="R12" s="271">
        <v>1328</v>
      </c>
      <c r="S12" s="205"/>
      <c r="T12" s="205"/>
      <c r="U12" s="205"/>
      <c r="V12" s="205"/>
      <c r="W12" s="205"/>
      <c r="X12" s="216"/>
      <c r="Y12" s="205"/>
      <c r="Z12" s="205"/>
      <c r="AA12" s="205"/>
      <c r="AB12" s="398"/>
      <c r="AC12" s="397"/>
      <c r="AD12" s="397"/>
      <c r="AE12" s="621"/>
      <c r="AF12" s="205"/>
      <c r="AG12" s="205"/>
      <c r="AH12" s="205"/>
      <c r="AI12" s="205"/>
      <c r="AJ12" s="216"/>
      <c r="AK12" s="205"/>
      <c r="AL12" s="205"/>
      <c r="AM12" s="41"/>
      <c r="AN12" s="41"/>
      <c r="AO12" s="41"/>
      <c r="AP12" s="498"/>
      <c r="AQ12" s="39"/>
      <c r="AR12" s="39"/>
      <c r="AS12" s="205"/>
      <c r="AT12" s="205"/>
      <c r="AU12" s="205"/>
      <c r="AV12" s="235"/>
      <c r="AW12" s="41">
        <f t="shared" si="0"/>
        <v>941</v>
      </c>
      <c r="AX12" s="41">
        <f t="shared" si="0"/>
        <v>1037</v>
      </c>
      <c r="AY12" s="41">
        <f t="shared" si="1"/>
        <v>1082</v>
      </c>
      <c r="AZ12" s="41">
        <f t="shared" si="9"/>
        <v>1762</v>
      </c>
      <c r="BA12" s="41">
        <f t="shared" si="9"/>
        <v>1943</v>
      </c>
      <c r="BB12" s="237">
        <f>(R12+X12+AD12+(AJ12/0.212)+(AP12/0.55)+(AV12/0.635))</f>
        <v>1328</v>
      </c>
      <c r="BC12" s="41">
        <f t="shared" si="10"/>
        <v>6035994.316063383</v>
      </c>
      <c r="BD12" s="41">
        <f t="shared" si="10"/>
        <v>6651781.196341899</v>
      </c>
      <c r="BE12" s="41">
        <f t="shared" si="11"/>
        <v>6940431.296472454</v>
      </c>
      <c r="BF12" s="41">
        <f t="shared" si="11"/>
        <v>11302255.031778619</v>
      </c>
      <c r="BG12" s="41">
        <f t="shared" si="12"/>
        <v>12463269.878970407</v>
      </c>
      <c r="BH12" s="237">
        <f t="shared" si="12"/>
        <v>8518385.177186156</v>
      </c>
      <c r="BI12" s="41">
        <v>450</v>
      </c>
      <c r="BJ12" s="41">
        <v>49</v>
      </c>
      <c r="BK12" s="41">
        <v>25</v>
      </c>
      <c r="BL12" s="400">
        <v>342</v>
      </c>
      <c r="BM12" s="400">
        <v>52</v>
      </c>
      <c r="BN12" s="216">
        <v>71</v>
      </c>
      <c r="BO12" s="205"/>
      <c r="BP12" s="205"/>
      <c r="BQ12" s="205"/>
      <c r="BR12" s="205"/>
      <c r="BS12" s="205"/>
      <c r="BT12" s="216"/>
      <c r="BU12" s="205"/>
      <c r="BV12" s="286"/>
      <c r="BW12" s="205"/>
      <c r="BX12" s="205"/>
      <c r="BY12" s="205"/>
      <c r="BZ12" s="235"/>
      <c r="CA12" s="41"/>
      <c r="CB12" s="41"/>
      <c r="CC12" s="205"/>
      <c r="CD12" s="205"/>
      <c r="CE12" s="205"/>
      <c r="CF12" s="216"/>
      <c r="CG12" s="205"/>
      <c r="CH12" s="205"/>
      <c r="CI12" s="39"/>
      <c r="CJ12" s="41"/>
      <c r="CK12" s="41"/>
      <c r="CL12" s="498"/>
      <c r="CM12" s="39"/>
      <c r="CN12" s="39"/>
      <c r="CO12" s="39"/>
      <c r="CP12" s="205"/>
      <c r="CQ12" s="205"/>
      <c r="CR12" s="282"/>
      <c r="CS12" s="41">
        <f aca="true" t="shared" si="14" ref="CS12:CX13">(BI12+BO12+BU12+(CA12/0.212)+(CG12/0.55)+(CM12/0.635))</f>
        <v>450</v>
      </c>
      <c r="CT12" s="41">
        <f t="shared" si="14"/>
        <v>49</v>
      </c>
      <c r="CU12" s="41">
        <f t="shared" si="14"/>
        <v>25</v>
      </c>
      <c r="CV12" s="41">
        <f t="shared" si="14"/>
        <v>342</v>
      </c>
      <c r="CW12" s="41">
        <f t="shared" si="14"/>
        <v>52</v>
      </c>
      <c r="CX12" s="237">
        <f t="shared" si="14"/>
        <v>71</v>
      </c>
      <c r="CY12" s="41">
        <f aca="true" t="shared" si="15" ref="CY12:DA13">CS12*1000/0.45359237/$B12</f>
        <v>2886501.0013055494</v>
      </c>
      <c r="CZ12" s="41">
        <f t="shared" si="15"/>
        <v>314307.88680882653</v>
      </c>
      <c r="DA12" s="41">
        <f t="shared" si="15"/>
        <v>160361.1667391972</v>
      </c>
      <c r="DB12" s="41">
        <f aca="true" t="shared" si="16" ref="DB12:DD13">CV12*1000/0.45359237/$B12</f>
        <v>2193740.7609922173</v>
      </c>
      <c r="DC12" s="41">
        <f t="shared" si="16"/>
        <v>333551.2268175302</v>
      </c>
      <c r="DD12" s="237">
        <f t="shared" si="16"/>
        <v>455425.71353932</v>
      </c>
      <c r="DE12" s="39">
        <f t="shared" si="13"/>
        <v>491</v>
      </c>
      <c r="DF12" s="39">
        <f t="shared" si="13"/>
        <v>988</v>
      </c>
      <c r="DG12" s="39">
        <f t="shared" si="13"/>
        <v>1057</v>
      </c>
      <c r="DH12" s="39">
        <f t="shared" si="13"/>
        <v>1420</v>
      </c>
      <c r="DI12" s="39">
        <f t="shared" si="13"/>
        <v>1891</v>
      </c>
      <c r="DJ12" s="243">
        <f t="shared" si="13"/>
        <v>1257</v>
      </c>
      <c r="DK12" s="39">
        <f t="shared" si="13"/>
        <v>3149493.3147578333</v>
      </c>
      <c r="DL12" s="39">
        <f t="shared" si="13"/>
        <v>6337473.309533073</v>
      </c>
      <c r="DM12" s="39">
        <f t="shared" si="13"/>
        <v>6780070.129733257</v>
      </c>
      <c r="DN12" s="39">
        <f t="shared" si="13"/>
        <v>9108514.2707864</v>
      </c>
      <c r="DO12" s="39">
        <f t="shared" si="13"/>
        <v>12129718.652152877</v>
      </c>
      <c r="DP12" s="243">
        <f t="shared" si="13"/>
        <v>8062959.463646836</v>
      </c>
      <c r="DQ12" s="39">
        <f>DK12+Commerical!I12</f>
        <v>8366305.827046447</v>
      </c>
      <c r="DR12" s="39">
        <f>DL12+Commerical!J12</f>
        <v>11120763.75582559</v>
      </c>
      <c r="DS12" s="39">
        <f>DM12+Commerical!K12</f>
        <v>14472904.643113678</v>
      </c>
      <c r="DT12" s="39">
        <f>DN12+Commerical!L12</f>
        <v>16897363.738380723</v>
      </c>
      <c r="DU12" s="39">
        <f>DO12+Commerical!M12</f>
        <v>21641018.207463242</v>
      </c>
      <c r="DV12" s="243">
        <f>DP12+Commerical!N12</f>
        <v>15392100.96864127</v>
      </c>
      <c r="DW12" s="39"/>
      <c r="DX12" s="39"/>
      <c r="DY12" s="38"/>
      <c r="DZ12" s="38"/>
      <c r="EA12" s="546"/>
      <c r="EB12" s="38"/>
      <c r="EC12" s="38"/>
      <c r="ED12" s="38"/>
    </row>
    <row r="13" spans="1:134" ht="12.75">
      <c r="A13" s="88" t="s">
        <v>177</v>
      </c>
      <c r="B13" s="29">
        <f>Commerical!B13</f>
        <v>7.5</v>
      </c>
      <c r="C13" s="41">
        <v>661</v>
      </c>
      <c r="D13" s="205">
        <v>342</v>
      </c>
      <c r="E13" s="398">
        <v>519</v>
      </c>
      <c r="F13" s="398">
        <v>405</v>
      </c>
      <c r="G13" s="494">
        <v>580</v>
      </c>
      <c r="H13" s="401"/>
      <c r="I13" s="205"/>
      <c r="J13" s="205"/>
      <c r="K13" s="205"/>
      <c r="L13" s="216"/>
      <c r="M13" s="205"/>
      <c r="N13" s="205"/>
      <c r="O13" s="205"/>
      <c r="P13" s="205"/>
      <c r="Q13" s="205"/>
      <c r="R13" s="271">
        <v>1131</v>
      </c>
      <c r="S13" s="205">
        <v>91727</v>
      </c>
      <c r="T13" s="205">
        <v>62044</v>
      </c>
      <c r="U13" s="205">
        <v>58166</v>
      </c>
      <c r="V13" s="397">
        <v>46084</v>
      </c>
      <c r="W13" s="397">
        <v>37797</v>
      </c>
      <c r="X13" s="216">
        <v>32872</v>
      </c>
      <c r="Y13" s="205"/>
      <c r="Z13" s="205"/>
      <c r="AA13" s="205"/>
      <c r="AB13" s="398"/>
      <c r="AE13" s="622"/>
      <c r="AF13" s="205"/>
      <c r="AG13" s="205"/>
      <c r="AH13" s="205"/>
      <c r="AI13" s="205"/>
      <c r="AJ13" s="216"/>
      <c r="AK13" s="205"/>
      <c r="AL13" s="205"/>
      <c r="AM13" s="41"/>
      <c r="AN13" s="41"/>
      <c r="AO13" s="41"/>
      <c r="AP13" s="498"/>
      <c r="AQ13" s="39"/>
      <c r="AR13" s="39"/>
      <c r="AS13" s="205"/>
      <c r="AT13" s="205"/>
      <c r="AU13" s="205"/>
      <c r="AV13" s="235"/>
      <c r="AW13" s="41">
        <f t="shared" si="0"/>
        <v>92388</v>
      </c>
      <c r="AX13" s="41">
        <f t="shared" si="0"/>
        <v>62386</v>
      </c>
      <c r="AY13" s="41">
        <f t="shared" si="1"/>
        <v>58685</v>
      </c>
      <c r="AZ13" s="41">
        <f t="shared" si="9"/>
        <v>46489</v>
      </c>
      <c r="BA13" s="41">
        <f t="shared" si="9"/>
        <v>38377</v>
      </c>
      <c r="BB13" s="237">
        <f>(R13+X13+AD13+(AJ13/0.212)+(AP13/0.55)+(AV13/0.635))</f>
        <v>34003</v>
      </c>
      <c r="BC13" s="41">
        <f t="shared" si="10"/>
        <v>27157423.304981958</v>
      </c>
      <c r="BD13" s="41">
        <f t="shared" si="10"/>
        <v>18338344.91822103</v>
      </c>
      <c r="BE13" s="41">
        <f t="shared" si="11"/>
        <v>17250437.14175939</v>
      </c>
      <c r="BF13" s="41">
        <f t="shared" si="11"/>
        <v>13665426.808950365</v>
      </c>
      <c r="BG13" s="41">
        <f t="shared" si="12"/>
        <v>11280906.98115873</v>
      </c>
      <c r="BH13" s="237">
        <f t="shared" si="12"/>
        <v>9995171.068096522</v>
      </c>
      <c r="BI13" s="41"/>
      <c r="BJ13" s="41"/>
      <c r="BK13" s="41"/>
      <c r="BL13" s="286"/>
      <c r="BM13" s="41"/>
      <c r="BN13" s="216"/>
      <c r="BO13" s="205">
        <v>327</v>
      </c>
      <c r="BP13" s="205">
        <v>425</v>
      </c>
      <c r="BQ13" s="205">
        <v>525</v>
      </c>
      <c r="BR13" s="400">
        <v>479</v>
      </c>
      <c r="BS13" s="400">
        <v>603</v>
      </c>
      <c r="BT13" s="216">
        <v>474</v>
      </c>
      <c r="BU13" s="205"/>
      <c r="BV13" s="286"/>
      <c r="BW13" s="205"/>
      <c r="BX13" s="205"/>
      <c r="BY13" s="205"/>
      <c r="BZ13" s="235"/>
      <c r="CA13" s="41"/>
      <c r="CB13" s="41"/>
      <c r="CC13" s="205"/>
      <c r="CD13" s="205"/>
      <c r="CE13" s="205"/>
      <c r="CF13" s="216"/>
      <c r="CG13" s="205"/>
      <c r="CH13" s="205"/>
      <c r="CI13" s="39"/>
      <c r="CJ13" s="41"/>
      <c r="CK13" s="41"/>
      <c r="CL13" s="498"/>
      <c r="CM13" s="39"/>
      <c r="CN13" s="39"/>
      <c r="CO13" s="39"/>
      <c r="CP13" s="205"/>
      <c r="CQ13" s="205"/>
      <c r="CR13" s="282"/>
      <c r="CS13" s="41">
        <f t="shared" si="14"/>
        <v>327</v>
      </c>
      <c r="CT13" s="41">
        <f t="shared" si="14"/>
        <v>425</v>
      </c>
      <c r="CU13" s="41">
        <f t="shared" si="14"/>
        <v>525</v>
      </c>
      <c r="CV13" s="41">
        <f t="shared" si="14"/>
        <v>479</v>
      </c>
      <c r="CW13" s="41">
        <f t="shared" si="14"/>
        <v>603</v>
      </c>
      <c r="CX13" s="237">
        <f t="shared" si="14"/>
        <v>474</v>
      </c>
      <c r="CY13" s="41">
        <f t="shared" si="15"/>
        <v>96121.54631260662</v>
      </c>
      <c r="CZ13" s="41">
        <f t="shared" si="15"/>
        <v>124928.61523809729</v>
      </c>
      <c r="DA13" s="41">
        <f t="shared" si="15"/>
        <v>154323.5835294143</v>
      </c>
      <c r="DB13" s="41">
        <f t="shared" si="16"/>
        <v>140801.8981154085</v>
      </c>
      <c r="DC13" s="41">
        <f t="shared" si="16"/>
        <v>177251.65879664157</v>
      </c>
      <c r="DD13" s="237">
        <f t="shared" si="16"/>
        <v>139332.14970084262</v>
      </c>
      <c r="DE13" s="39">
        <f t="shared" si="13"/>
        <v>92061</v>
      </c>
      <c r="DF13" s="39">
        <f t="shared" si="13"/>
        <v>61961</v>
      </c>
      <c r="DG13" s="39">
        <f t="shared" si="13"/>
        <v>58160</v>
      </c>
      <c r="DH13" s="39">
        <f t="shared" si="13"/>
        <v>46010</v>
      </c>
      <c r="DI13" s="39">
        <f t="shared" si="13"/>
        <v>37774</v>
      </c>
      <c r="DJ13" s="243">
        <f t="shared" si="13"/>
        <v>33529</v>
      </c>
      <c r="DK13" s="39">
        <f t="shared" si="13"/>
        <v>27061301.75866935</v>
      </c>
      <c r="DL13" s="39">
        <f t="shared" si="13"/>
        <v>18213416.302982934</v>
      </c>
      <c r="DM13" s="39">
        <f t="shared" si="13"/>
        <v>17096113.558229975</v>
      </c>
      <c r="DN13" s="39">
        <f t="shared" si="13"/>
        <v>13524624.910834957</v>
      </c>
      <c r="DO13" s="39">
        <f t="shared" si="13"/>
        <v>11103655.322362088</v>
      </c>
      <c r="DP13" s="243">
        <f t="shared" si="13"/>
        <v>9855838.91839568</v>
      </c>
      <c r="DQ13" s="39">
        <f>DK13+Commerical!I13</f>
        <v>28563968.42533602</v>
      </c>
      <c r="DR13" s="39">
        <f>DL13+Commerical!J13</f>
        <v>19169816.302982934</v>
      </c>
      <c r="DS13" s="39">
        <f>DM13+Commerical!K13</f>
        <v>18114246.891563307</v>
      </c>
      <c r="DT13" s="39">
        <f>DN13+Commerical!L13</f>
        <v>14622624.910834957</v>
      </c>
      <c r="DU13" s="39">
        <f>DO13+Commerical!M13</f>
        <v>12245255.322362088</v>
      </c>
      <c r="DV13" s="243">
        <f>DP13+Commerical!N13</f>
        <v>10730505.585062345</v>
      </c>
      <c r="DW13" s="39"/>
      <c r="DX13" s="39"/>
      <c r="DY13" s="38"/>
      <c r="DZ13" s="38"/>
      <c r="EA13" s="546"/>
      <c r="EB13" s="38"/>
      <c r="EC13" s="38"/>
      <c r="ED13" s="38"/>
    </row>
    <row r="14" spans="1:134" ht="12.75">
      <c r="A14" s="88" t="s">
        <v>327</v>
      </c>
      <c r="B14" s="29">
        <f>Commerical!B14</f>
        <v>1.0625</v>
      </c>
      <c r="C14" s="41"/>
      <c r="D14" s="41"/>
      <c r="E14" s="41"/>
      <c r="F14" s="41"/>
      <c r="G14" s="235"/>
      <c r="H14" s="41"/>
      <c r="I14" s="205"/>
      <c r="J14" s="205"/>
      <c r="K14" s="205"/>
      <c r="L14" s="216"/>
      <c r="M14" s="205"/>
      <c r="N14" s="205"/>
      <c r="O14" s="205"/>
      <c r="P14" s="205"/>
      <c r="Q14" s="205"/>
      <c r="R14" s="271"/>
      <c r="S14" s="205"/>
      <c r="T14" s="205"/>
      <c r="U14" s="205"/>
      <c r="V14" s="205"/>
      <c r="W14" s="205"/>
      <c r="X14" s="216"/>
      <c r="Y14" s="205"/>
      <c r="Z14" s="205"/>
      <c r="AA14" s="205"/>
      <c r="AB14" s="398"/>
      <c r="AE14" s="622"/>
      <c r="AF14" s="205"/>
      <c r="AG14" s="205"/>
      <c r="AH14" s="205"/>
      <c r="AI14" s="205"/>
      <c r="AJ14" s="216"/>
      <c r="AK14" s="205"/>
      <c r="AL14" s="205"/>
      <c r="AM14" s="41"/>
      <c r="AN14" s="41"/>
      <c r="AO14" s="41"/>
      <c r="AP14" s="498"/>
      <c r="AQ14" s="39"/>
      <c r="AR14" s="39"/>
      <c r="AS14" s="205"/>
      <c r="AT14" s="205"/>
      <c r="AU14" s="205"/>
      <c r="AV14" s="235"/>
      <c r="AW14" s="41"/>
      <c r="AX14" s="41"/>
      <c r="AY14" s="41"/>
      <c r="AZ14" s="41"/>
      <c r="BA14" s="41"/>
      <c r="BB14" s="237"/>
      <c r="BC14" s="41"/>
      <c r="BD14" s="41"/>
      <c r="BE14" s="210"/>
      <c r="BF14" s="41"/>
      <c r="BG14" s="41"/>
      <c r="BH14" s="224"/>
      <c r="BI14" s="210"/>
      <c r="BJ14" s="210"/>
      <c r="BK14" s="41"/>
      <c r="BL14" s="286"/>
      <c r="BM14" s="41"/>
      <c r="BN14" s="216"/>
      <c r="BO14" s="205"/>
      <c r="BP14" s="205"/>
      <c r="BQ14" s="205"/>
      <c r="BR14" s="205"/>
      <c r="BS14" s="205"/>
      <c r="BT14" s="216"/>
      <c r="BU14" s="205"/>
      <c r="BV14" s="286"/>
      <c r="BW14" s="205"/>
      <c r="BX14" s="205"/>
      <c r="BY14" s="205"/>
      <c r="BZ14" s="235"/>
      <c r="CA14" s="41"/>
      <c r="CB14" s="41"/>
      <c r="CC14" s="205"/>
      <c r="CD14" s="205"/>
      <c r="CE14" s="205"/>
      <c r="CF14" s="216"/>
      <c r="CG14" s="205"/>
      <c r="CH14" s="205"/>
      <c r="CI14" s="39"/>
      <c r="CJ14" s="41"/>
      <c r="CK14" s="41"/>
      <c r="CL14" s="498"/>
      <c r="CM14" s="39"/>
      <c r="CN14" s="39"/>
      <c r="CO14" s="39"/>
      <c r="CP14" s="205"/>
      <c r="CQ14" s="205"/>
      <c r="CR14" s="282"/>
      <c r="CS14" s="205"/>
      <c r="CT14" s="41"/>
      <c r="CU14" s="41"/>
      <c r="CV14" s="41"/>
      <c r="CW14" s="41"/>
      <c r="CX14" s="237"/>
      <c r="CY14" s="41"/>
      <c r="CZ14" s="41"/>
      <c r="DA14" s="39"/>
      <c r="DB14" s="41"/>
      <c r="DC14" s="41"/>
      <c r="DD14" s="224"/>
      <c r="DE14" s="210"/>
      <c r="DF14" s="39"/>
      <c r="DG14" s="39"/>
      <c r="DH14" s="39"/>
      <c r="DI14" s="39"/>
      <c r="DJ14" s="243"/>
      <c r="DK14" s="39"/>
      <c r="DL14" s="39"/>
      <c r="DM14" s="39"/>
      <c r="DN14" s="39"/>
      <c r="DO14" s="39"/>
      <c r="DP14" s="243"/>
      <c r="DQ14" s="39">
        <f>DK14+Commerical!I14</f>
        <v>240941.17647058822</v>
      </c>
      <c r="DR14" s="39">
        <f>DL14+Commerical!J14</f>
        <v>358588.23529411765</v>
      </c>
      <c r="DS14" s="39">
        <f>DM14+Commerical!K14</f>
        <v>458352.9411764706</v>
      </c>
      <c r="DT14" s="39">
        <f>DN14+Commerical!L14</f>
        <v>690823.5294117647</v>
      </c>
      <c r="DU14" s="39">
        <f>DO14+Commerical!M14</f>
        <v>1135058.8235294118</v>
      </c>
      <c r="DV14" s="243">
        <f>DP14+Commerical!N14</f>
        <v>1735529.4117647058</v>
      </c>
      <c r="DW14" s="39"/>
      <c r="DX14" s="39"/>
      <c r="DY14" s="38"/>
      <c r="DZ14" s="38"/>
      <c r="EA14" s="546"/>
      <c r="EB14" s="38"/>
      <c r="EC14" s="38"/>
      <c r="ED14" s="38"/>
    </row>
    <row r="15" spans="1:134" ht="12.75">
      <c r="A15" s="88" t="s">
        <v>178</v>
      </c>
      <c r="B15" s="29">
        <f>Commerical!B15</f>
        <v>3.327520417666667</v>
      </c>
      <c r="C15" s="41"/>
      <c r="E15" s="41"/>
      <c r="F15" s="41"/>
      <c r="G15" s="235"/>
      <c r="H15" s="41"/>
      <c r="I15" s="205"/>
      <c r="J15" s="205"/>
      <c r="K15" s="205"/>
      <c r="L15" s="216"/>
      <c r="M15" s="205"/>
      <c r="N15" s="205"/>
      <c r="O15" s="205"/>
      <c r="P15" s="205"/>
      <c r="Q15" s="205"/>
      <c r="R15" s="271"/>
      <c r="S15" s="205"/>
      <c r="T15" s="205"/>
      <c r="U15" s="205"/>
      <c r="V15" s="205"/>
      <c r="W15" s="205"/>
      <c r="X15" s="216"/>
      <c r="Y15" s="205"/>
      <c r="Z15" s="205"/>
      <c r="AA15" s="205"/>
      <c r="AB15" s="398"/>
      <c r="AE15" s="622"/>
      <c r="AF15" s="205"/>
      <c r="AG15" s="205"/>
      <c r="AH15" s="205"/>
      <c r="AI15" s="205"/>
      <c r="AJ15" s="216"/>
      <c r="AK15" s="205"/>
      <c r="AL15" s="205"/>
      <c r="AM15" s="41"/>
      <c r="AN15" s="41"/>
      <c r="AO15" s="41"/>
      <c r="AP15" s="498"/>
      <c r="AQ15" s="39"/>
      <c r="AR15" s="39"/>
      <c r="AS15" s="205"/>
      <c r="AT15" s="205"/>
      <c r="AU15" s="205"/>
      <c r="AV15" s="235"/>
      <c r="AW15" s="41"/>
      <c r="AX15" s="41"/>
      <c r="AY15" s="41"/>
      <c r="AZ15" s="41"/>
      <c r="BA15" s="41"/>
      <c r="BB15" s="237"/>
      <c r="BC15" s="41"/>
      <c r="BD15" s="41"/>
      <c r="BE15" s="210"/>
      <c r="BF15" s="41"/>
      <c r="BG15" s="41"/>
      <c r="BH15" s="224"/>
      <c r="BI15" s="210"/>
      <c r="BJ15" s="210"/>
      <c r="BK15" s="41"/>
      <c r="BL15" s="286"/>
      <c r="BM15" s="41"/>
      <c r="BN15" s="216"/>
      <c r="BO15" s="205"/>
      <c r="BP15" s="205"/>
      <c r="BQ15" s="205"/>
      <c r="BR15" s="205"/>
      <c r="BS15" s="205"/>
      <c r="BT15" s="216"/>
      <c r="BU15" s="205"/>
      <c r="BV15" s="205"/>
      <c r="BW15" s="205"/>
      <c r="BX15" s="205"/>
      <c r="BY15" s="205"/>
      <c r="BZ15" s="235"/>
      <c r="CA15" s="41"/>
      <c r="CB15" s="41"/>
      <c r="CC15" s="205"/>
      <c r="CD15" s="205"/>
      <c r="CE15" s="205"/>
      <c r="CF15" s="216"/>
      <c r="CG15" s="205"/>
      <c r="CH15" s="205"/>
      <c r="CI15" s="39"/>
      <c r="CJ15" s="41"/>
      <c r="CK15" s="41"/>
      <c r="CL15" s="498"/>
      <c r="CM15" s="39"/>
      <c r="CN15" s="39"/>
      <c r="CO15" s="39"/>
      <c r="CP15" s="205"/>
      <c r="CQ15" s="205"/>
      <c r="CR15" s="282"/>
      <c r="CS15" s="205"/>
      <c r="CT15" s="41"/>
      <c r="CU15" s="41"/>
      <c r="CV15" s="41"/>
      <c r="CW15" s="41"/>
      <c r="CX15" s="237"/>
      <c r="CY15" s="41"/>
      <c r="CZ15" s="41"/>
      <c r="DA15" s="39"/>
      <c r="DB15" s="41"/>
      <c r="DC15" s="41"/>
      <c r="DD15" s="224"/>
      <c r="DE15" s="210"/>
      <c r="DF15" s="39"/>
      <c r="DG15" s="39"/>
      <c r="DH15" s="39"/>
      <c r="DI15" s="39"/>
      <c r="DJ15" s="243"/>
      <c r="DK15" s="39"/>
      <c r="DL15" s="39"/>
      <c r="DM15" s="39"/>
      <c r="DN15" s="39"/>
      <c r="DO15" s="39"/>
      <c r="DP15" s="243"/>
      <c r="DQ15" s="39">
        <f>DK15+Commerical!I15</f>
        <v>5289824.791621542</v>
      </c>
      <c r="DR15" s="39">
        <f>DL15+Commerical!J15</f>
        <v>5323483.488170888</v>
      </c>
      <c r="DS15" s="39">
        <f>DM15+Commerical!K15</f>
        <v>5922728.496379806</v>
      </c>
      <c r="DT15" s="39">
        <f>DN15+Commerical!L15</f>
        <v>5732496.756060726</v>
      </c>
      <c r="DU15" s="39">
        <f>DO15+Commerical!M15</f>
        <v>5099593.051302462</v>
      </c>
      <c r="DV15" s="243">
        <f>DP15+Commerical!N15</f>
        <v>3782997.072885579</v>
      </c>
      <c r="DW15" s="138"/>
      <c r="DX15" s="39"/>
      <c r="DY15" s="38"/>
      <c r="DZ15" s="38"/>
      <c r="EA15" s="546"/>
      <c r="EB15" s="38"/>
      <c r="EC15" s="38"/>
      <c r="ED15" s="38"/>
    </row>
    <row r="16" spans="1:134" ht="12.75">
      <c r="A16" s="88" t="s">
        <v>179</v>
      </c>
      <c r="B16" s="29">
        <f>Commerical!B16</f>
        <v>7.67724589386</v>
      </c>
      <c r="C16" s="41"/>
      <c r="E16" s="397"/>
      <c r="F16" s="397"/>
      <c r="G16" s="495"/>
      <c r="H16" s="401"/>
      <c r="I16" s="205"/>
      <c r="J16" s="205"/>
      <c r="K16" s="205"/>
      <c r="L16" s="216"/>
      <c r="M16" s="205"/>
      <c r="N16" s="205"/>
      <c r="O16" s="205"/>
      <c r="P16" s="205"/>
      <c r="Q16" s="205"/>
      <c r="R16" s="271"/>
      <c r="S16" s="205"/>
      <c r="T16" s="205"/>
      <c r="U16" s="205"/>
      <c r="V16" s="205"/>
      <c r="W16" s="205"/>
      <c r="X16" s="216"/>
      <c r="Y16" s="205"/>
      <c r="AB16" s="398"/>
      <c r="AC16" s="398"/>
      <c r="AD16" s="397"/>
      <c r="AE16" s="621"/>
      <c r="AF16" s="205"/>
      <c r="AG16" s="205"/>
      <c r="AH16" s="205"/>
      <c r="AI16" s="205"/>
      <c r="AJ16" s="216"/>
      <c r="AK16" s="205"/>
      <c r="AL16" s="205"/>
      <c r="AM16" s="41"/>
      <c r="AN16" s="41"/>
      <c r="AO16" s="41"/>
      <c r="AP16" s="498"/>
      <c r="AQ16" s="39"/>
      <c r="AR16" s="39"/>
      <c r="AS16" s="205"/>
      <c r="AT16" s="205"/>
      <c r="AU16" s="205"/>
      <c r="AV16" s="235"/>
      <c r="AW16" s="41"/>
      <c r="AX16" s="41"/>
      <c r="AY16" s="41"/>
      <c r="AZ16" s="41"/>
      <c r="BA16" s="41"/>
      <c r="BB16" s="237"/>
      <c r="BC16" s="41"/>
      <c r="BD16" s="41"/>
      <c r="BE16" s="210"/>
      <c r="BF16" s="41"/>
      <c r="BG16" s="41"/>
      <c r="BH16" s="224"/>
      <c r="BI16" s="210"/>
      <c r="BJ16" s="210"/>
      <c r="BK16" s="41"/>
      <c r="BL16" s="286"/>
      <c r="BM16" s="41"/>
      <c r="BN16" s="216"/>
      <c r="BO16" s="205"/>
      <c r="BP16" s="205"/>
      <c r="BQ16" s="205"/>
      <c r="BR16" s="205"/>
      <c r="BS16" s="205"/>
      <c r="BT16" s="216"/>
      <c r="BU16" s="205"/>
      <c r="BV16" s="286"/>
      <c r="BW16" s="205"/>
      <c r="BX16" s="205"/>
      <c r="BY16" s="205"/>
      <c r="BZ16" s="235"/>
      <c r="CA16" s="41"/>
      <c r="CB16" s="41"/>
      <c r="CC16" s="205"/>
      <c r="CD16" s="205"/>
      <c r="CE16" s="205"/>
      <c r="CF16" s="216"/>
      <c r="CG16" s="205"/>
      <c r="CH16" s="205"/>
      <c r="CI16" s="39"/>
      <c r="CJ16" s="41"/>
      <c r="CK16" s="41"/>
      <c r="CL16" s="498"/>
      <c r="CM16" s="39"/>
      <c r="CN16" s="39"/>
      <c r="CO16" s="39"/>
      <c r="CP16" s="205"/>
      <c r="CQ16" s="205"/>
      <c r="CR16" s="282"/>
      <c r="CS16" s="205"/>
      <c r="CT16" s="41"/>
      <c r="CU16" s="41"/>
      <c r="CV16" s="41"/>
      <c r="CW16" s="41"/>
      <c r="CX16" s="237"/>
      <c r="CY16" s="41"/>
      <c r="CZ16" s="41"/>
      <c r="DA16" s="39"/>
      <c r="DB16" s="41"/>
      <c r="DC16" s="41"/>
      <c r="DD16" s="224"/>
      <c r="DE16" s="210"/>
      <c r="DF16" s="39"/>
      <c r="DG16" s="39"/>
      <c r="DH16" s="39"/>
      <c r="DI16" s="39"/>
      <c r="DJ16" s="243"/>
      <c r="DK16" s="39"/>
      <c r="DL16" s="39"/>
      <c r="DM16" s="39"/>
      <c r="DN16" s="39"/>
      <c r="DO16" s="39"/>
      <c r="DP16" s="243"/>
      <c r="DQ16" s="39">
        <f>DK16+Commerical!I16</f>
        <v>86527513.79648773</v>
      </c>
      <c r="DR16" s="39">
        <f>DL16+Commerical!J16</f>
        <v>70290180.5491969</v>
      </c>
      <c r="DS16" s="39">
        <f>DM16+Commerical!K16</f>
        <v>63973852.96630911</v>
      </c>
      <c r="DT16" s="39">
        <f>DN16+Commerical!L16</f>
        <v>64339739.3842818</v>
      </c>
      <c r="DU16" s="39">
        <f>DO16+Commerical!M16</f>
        <v>63507930.67471483</v>
      </c>
      <c r="DV16" s="243">
        <f>DP16+Commerical!N16</f>
        <v>67567589.62414698</v>
      </c>
      <c r="DW16" s="138"/>
      <c r="DX16" s="39"/>
      <c r="DY16" s="38"/>
      <c r="DZ16" s="38"/>
      <c r="EA16" s="546"/>
      <c r="EB16" s="38"/>
      <c r="EC16" s="38"/>
      <c r="ED16" s="38"/>
    </row>
    <row r="17" spans="1:134" ht="12.75">
      <c r="A17" s="88" t="s">
        <v>639</v>
      </c>
      <c r="B17" s="29">
        <f>SUM(Commerical!C15:H16)*1000/SUM(Commerical!I15:N16)</f>
        <v>7.374359039964207</v>
      </c>
      <c r="C17" s="41">
        <v>966</v>
      </c>
      <c r="D17" s="41">
        <v>1873</v>
      </c>
      <c r="E17" s="397">
        <v>1445</v>
      </c>
      <c r="F17" s="397">
        <f>1717</f>
        <v>1717</v>
      </c>
      <c r="G17" s="495">
        <f>2346</f>
        <v>2346</v>
      </c>
      <c r="H17" s="401">
        <v>6064</v>
      </c>
      <c r="I17" s="205">
        <v>7036</v>
      </c>
      <c r="J17" s="401">
        <v>5987</v>
      </c>
      <c r="K17" s="401">
        <v>7249</v>
      </c>
      <c r="L17" s="495">
        <v>8605</v>
      </c>
      <c r="M17" s="401">
        <v>1105</v>
      </c>
      <c r="N17" s="205">
        <v>793</v>
      </c>
      <c r="O17" s="401">
        <v>1552</v>
      </c>
      <c r="P17" s="401">
        <v>1712</v>
      </c>
      <c r="Q17" s="397">
        <v>4426</v>
      </c>
      <c r="R17" s="271">
        <f>2212+6378+2409</f>
        <v>10999</v>
      </c>
      <c r="S17" s="205">
        <v>40316</v>
      </c>
      <c r="T17" s="205">
        <v>34908</v>
      </c>
      <c r="U17" s="205">
        <v>31609</v>
      </c>
      <c r="V17" s="397">
        <v>33977</v>
      </c>
      <c r="W17" s="397">
        <v>39247</v>
      </c>
      <c r="X17" s="216">
        <v>44556</v>
      </c>
      <c r="Y17" s="205"/>
      <c r="AB17" s="398"/>
      <c r="AC17" s="398"/>
      <c r="AD17" s="398"/>
      <c r="AE17" s="624">
        <v>3200</v>
      </c>
      <c r="AF17" s="401">
        <v>3283</v>
      </c>
      <c r="AG17" s="401">
        <v>3048</v>
      </c>
      <c r="AH17" s="401">
        <v>3459</v>
      </c>
      <c r="AI17" s="401">
        <v>3476</v>
      </c>
      <c r="AJ17" s="216">
        <v>3067</v>
      </c>
      <c r="AK17" s="205">
        <v>538</v>
      </c>
      <c r="AL17" s="205">
        <v>668</v>
      </c>
      <c r="AM17" s="400">
        <v>674</v>
      </c>
      <c r="AN17" s="400">
        <v>587</v>
      </c>
      <c r="AO17" s="400">
        <v>776</v>
      </c>
      <c r="AP17" s="235">
        <v>1004</v>
      </c>
      <c r="AQ17" s="41"/>
      <c r="AR17" s="41"/>
      <c r="AS17" s="205"/>
      <c r="AT17" s="205"/>
      <c r="AU17" s="205"/>
      <c r="AV17" s="235"/>
      <c r="AW17" s="41">
        <f t="shared" si="0"/>
        <v>64523.52144082332</v>
      </c>
      <c r="AX17" s="41">
        <f t="shared" si="0"/>
        <v>61310.39451114923</v>
      </c>
      <c r="AY17" s="41">
        <f t="shared" si="1"/>
        <v>56195.81303602058</v>
      </c>
      <c r="AZ17" s="41">
        <f>(F17+K17+P17+V17+AB17+(AH17/0.212)+(AN17/0.55)+(AT17/0.635))</f>
        <v>62038.31046312179</v>
      </c>
      <c r="BA17" s="41">
        <f>(G17+L17+Q17+W17+AC17+(AI17/0.212)+(AO17/0.55)+(AU17/0.635))</f>
        <v>72431.13550600343</v>
      </c>
      <c r="BB17" s="237">
        <f>(R17+X17+AD17+(AJ17/0.212)+(AP17/0.55)+(AV17/0.635))</f>
        <v>71847.43567753001</v>
      </c>
      <c r="BC17" s="41">
        <f>AW17*1000/0.45359237/$B17</f>
        <v>19289814.103013083</v>
      </c>
      <c r="BD17" s="41">
        <f>AX17*1000/0.45359237/$B17</f>
        <v>18329224.541582484</v>
      </c>
      <c r="BE17" s="41">
        <f aca="true" t="shared" si="17" ref="BE17:BH18">AY17*1000/0.45359237/$B17</f>
        <v>16800180.192066785</v>
      </c>
      <c r="BF17" s="41">
        <f t="shared" si="17"/>
        <v>18546840.73925152</v>
      </c>
      <c r="BG17" s="41">
        <f t="shared" si="17"/>
        <v>21653857.507798303</v>
      </c>
      <c r="BH17" s="237">
        <f t="shared" si="17"/>
        <v>21479355.854265034</v>
      </c>
      <c r="BI17" s="41">
        <v>98599</v>
      </c>
      <c r="BJ17" s="41">
        <v>77605</v>
      </c>
      <c r="BK17" s="41">
        <v>62490</v>
      </c>
      <c r="BL17" s="401">
        <v>63464</v>
      </c>
      <c r="BM17" s="401">
        <v>74363</v>
      </c>
      <c r="BN17" s="216">
        <v>83498</v>
      </c>
      <c r="BO17" s="205">
        <v>10490</v>
      </c>
      <c r="BP17" s="205">
        <v>8846</v>
      </c>
      <c r="BQ17" s="205">
        <v>15793</v>
      </c>
      <c r="BR17" s="401">
        <v>11993</v>
      </c>
      <c r="BS17" s="401">
        <v>13704</v>
      </c>
      <c r="BT17" s="216">
        <v>5664</v>
      </c>
      <c r="BU17" s="205"/>
      <c r="BV17" s="205"/>
      <c r="BW17" s="205"/>
      <c r="BX17" s="205"/>
      <c r="BY17" s="205"/>
      <c r="BZ17" s="216"/>
      <c r="CA17" s="205">
        <v>500</v>
      </c>
      <c r="CB17" s="205">
        <v>265</v>
      </c>
      <c r="CC17" s="205">
        <v>251</v>
      </c>
      <c r="CD17" s="400">
        <v>359</v>
      </c>
      <c r="CE17" s="400">
        <v>58</v>
      </c>
      <c r="CF17" s="216">
        <v>1030</v>
      </c>
      <c r="CG17" s="205">
        <v>315</v>
      </c>
      <c r="CH17" s="205">
        <v>119</v>
      </c>
      <c r="CI17" s="39">
        <v>225</v>
      </c>
      <c r="CJ17" s="401">
        <v>1265</v>
      </c>
      <c r="CK17" s="401">
        <v>1514</v>
      </c>
      <c r="CL17" s="235">
        <v>2102</v>
      </c>
      <c r="CM17" s="41"/>
      <c r="CN17" s="41"/>
      <c r="CO17" s="39"/>
      <c r="CP17" s="205"/>
      <c r="CQ17" s="205"/>
      <c r="CR17" s="282"/>
      <c r="CS17" s="41">
        <f aca="true" t="shared" si="18" ref="CS17:CX17">(BI17+BO17+BU17+(CA17/0.212)+(CG17/0.55)+(CM17/0.635))</f>
        <v>112020.21783876502</v>
      </c>
      <c r="CT17" s="41">
        <f t="shared" si="18"/>
        <v>87917.36363636363</v>
      </c>
      <c r="CU17" s="41">
        <f t="shared" si="18"/>
        <v>79876.05317324186</v>
      </c>
      <c r="CV17" s="41">
        <f t="shared" si="18"/>
        <v>79450.39622641509</v>
      </c>
      <c r="CW17" s="41">
        <f t="shared" si="18"/>
        <v>91093.31217838766</v>
      </c>
      <c r="CX17" s="237">
        <f t="shared" si="18"/>
        <v>97842.30874785592</v>
      </c>
      <c r="CY17" s="41">
        <f aca="true" t="shared" si="19" ref="CY17:DD17">CS17*1000/0.45359237/$B17</f>
        <v>33489324.972298585</v>
      </c>
      <c r="CZ17" s="41">
        <f t="shared" si="19"/>
        <v>26283587.18034062</v>
      </c>
      <c r="DA17" s="41">
        <f t="shared" si="19"/>
        <v>23879574.186094876</v>
      </c>
      <c r="DB17" s="41">
        <f t="shared" si="19"/>
        <v>23752320.69476963</v>
      </c>
      <c r="DC17" s="41">
        <f t="shared" si="19"/>
        <v>27233061.970438145</v>
      </c>
      <c r="DD17" s="237">
        <f t="shared" si="19"/>
        <v>29250727.564314865</v>
      </c>
      <c r="DE17" s="39">
        <f aca="true" t="shared" si="20" ref="DE17:DP18">AW17-CS17</f>
        <v>-47496.6963979417</v>
      </c>
      <c r="DF17" s="39">
        <f t="shared" si="20"/>
        <v>-26606.969125214404</v>
      </c>
      <c r="DG17" s="39">
        <f t="shared" si="20"/>
        <v>-23680.240137221277</v>
      </c>
      <c r="DH17" s="39">
        <f t="shared" si="20"/>
        <v>-17412.085763293304</v>
      </c>
      <c r="DI17" s="39">
        <f t="shared" si="20"/>
        <v>-18662.17667238423</v>
      </c>
      <c r="DJ17" s="243">
        <f t="shared" si="20"/>
        <v>-25994.873070325906</v>
      </c>
      <c r="DK17" s="39">
        <f t="shared" si="20"/>
        <v>-14199510.869285502</v>
      </c>
      <c r="DL17" s="39">
        <f t="shared" si="20"/>
        <v>-7954362.638758138</v>
      </c>
      <c r="DM17" s="39">
        <f t="shared" si="20"/>
        <v>-7079393.994028091</v>
      </c>
      <c r="DN17" s="39">
        <f t="shared" si="20"/>
        <v>-5205479.955518108</v>
      </c>
      <c r="DO17" s="39">
        <f t="shared" si="20"/>
        <v>-5579204.462639842</v>
      </c>
      <c r="DP17" s="243">
        <f t="shared" si="20"/>
        <v>-7771371.71004983</v>
      </c>
      <c r="DQ17" s="39">
        <f>DK17+Commerical!I17</f>
        <v>-14199510.869285502</v>
      </c>
      <c r="DR17" s="39">
        <f>DL17+Commerical!J17</f>
        <v>-7954362.638758138</v>
      </c>
      <c r="DS17" s="39">
        <f>DM17+Commerical!K17</f>
        <v>-7079393.994028091</v>
      </c>
      <c r="DT17" s="39">
        <f>DN17+Commerical!L17</f>
        <v>-5205479.955518108</v>
      </c>
      <c r="DU17" s="39">
        <f>DO17+Commerical!M17</f>
        <v>-5579204.462639842</v>
      </c>
      <c r="DV17" s="243">
        <f>DP17+Commerical!N17</f>
        <v>-7771371.71004983</v>
      </c>
      <c r="DW17" s="138"/>
      <c r="DX17" s="39"/>
      <c r="DY17" s="39"/>
      <c r="DZ17" s="38"/>
      <c r="EA17" s="546"/>
      <c r="EB17" s="39"/>
      <c r="EC17" s="38"/>
      <c r="ED17" s="38"/>
    </row>
    <row r="18" spans="1:134" ht="13.5">
      <c r="A18" s="88" t="s">
        <v>756</v>
      </c>
      <c r="B18" s="29">
        <f>SUM(Commerical!C15:H16,Commerical!C22:H22,Commerical!C45:H49,Commerical!C79:H80)*1000/SUM(Commerical!I79:N80,Commerical!I15:N16,Commerical!I22:N22,Commerical!I45:N49)</f>
        <v>1.6792626963867305</v>
      </c>
      <c r="C18" s="41"/>
      <c r="E18" s="397"/>
      <c r="F18" s="397"/>
      <c r="G18" s="495"/>
      <c r="H18" s="401"/>
      <c r="J18" s="205"/>
      <c r="K18" s="205"/>
      <c r="L18" s="216"/>
      <c r="M18" s="205"/>
      <c r="N18" s="205"/>
      <c r="O18" s="205"/>
      <c r="P18" s="205"/>
      <c r="Q18" s="205"/>
      <c r="R18" s="271"/>
      <c r="S18" s="205"/>
      <c r="X18" s="216"/>
      <c r="Y18" s="205"/>
      <c r="AB18" s="402"/>
      <c r="AE18" s="622"/>
      <c r="AF18" s="205"/>
      <c r="AG18" s="205"/>
      <c r="AH18" s="205"/>
      <c r="AI18" s="205"/>
      <c r="AJ18" s="216"/>
      <c r="AK18" s="205"/>
      <c r="AL18" s="205"/>
      <c r="AM18" s="41"/>
      <c r="AN18" s="41"/>
      <c r="AO18" s="41"/>
      <c r="AP18" s="235"/>
      <c r="AQ18" s="41">
        <v>104</v>
      </c>
      <c r="AR18" s="41">
        <v>26</v>
      </c>
      <c r="AS18" s="400">
        <v>24</v>
      </c>
      <c r="AT18" s="400">
        <v>163</v>
      </c>
      <c r="AU18" s="400">
        <v>136</v>
      </c>
      <c r="AV18" s="235" t="s">
        <v>667</v>
      </c>
      <c r="AW18" s="41">
        <f t="shared" si="0"/>
        <v>163.7795275590551</v>
      </c>
      <c r="AX18" s="41">
        <f t="shared" si="0"/>
        <v>40.94488188976378</v>
      </c>
      <c r="AY18" s="41">
        <f t="shared" si="1"/>
        <v>37.79527559055118</v>
      </c>
      <c r="AZ18" s="41">
        <f>(F18+K18+P18+V18+AB18+(AH18/0.212)+(AN18/0.55)+(AT18/0.635))</f>
        <v>256.6929133858268</v>
      </c>
      <c r="BA18" s="41">
        <f>(G18+L18+Q18+W18+AC18+(AI18/0.212)+(AO18/0.55)+(AU18/0.635))</f>
        <v>214.17322834645668</v>
      </c>
      <c r="BB18" s="237">
        <f>(R18+X18+AD18+(AJ18/0.212)+(AP18/0.55)+(AV18/0.635))</f>
        <v>137.00787401574803</v>
      </c>
      <c r="BC18" s="41">
        <f>AW18*1000/0.45359237/$B18</f>
        <v>215018.20544773407</v>
      </c>
      <c r="BD18" s="41">
        <f>AX18*1000/0.45359237/$B18</f>
        <v>53754.55136193352</v>
      </c>
      <c r="BE18" s="41">
        <f t="shared" si="17"/>
        <v>49619.58587255401</v>
      </c>
      <c r="BF18" s="41">
        <f t="shared" si="17"/>
        <v>336999.68738442933</v>
      </c>
      <c r="BG18" s="41">
        <f t="shared" si="17"/>
        <v>281177.65327780606</v>
      </c>
      <c r="BH18" s="237">
        <f t="shared" si="17"/>
        <v>179870.99878800832</v>
      </c>
      <c r="BI18" s="41"/>
      <c r="BJ18" s="41"/>
      <c r="BK18" s="41"/>
      <c r="BL18" s="286"/>
      <c r="BM18" s="41"/>
      <c r="BN18" s="216"/>
      <c r="BO18" s="205"/>
      <c r="BP18" s="205"/>
      <c r="BQ18" s="205"/>
      <c r="BR18" s="205"/>
      <c r="BS18" s="205"/>
      <c r="BT18" s="216"/>
      <c r="BU18" s="205"/>
      <c r="BV18" s="205"/>
      <c r="BW18" s="205"/>
      <c r="BX18" s="205"/>
      <c r="BY18" s="205"/>
      <c r="BZ18" s="235"/>
      <c r="CA18" s="41"/>
      <c r="CC18" s="205"/>
      <c r="CD18" s="205"/>
      <c r="CE18" s="400"/>
      <c r="CF18" s="216"/>
      <c r="CG18" s="205"/>
      <c r="CH18" s="286"/>
      <c r="CI18" s="39"/>
      <c r="CJ18" s="286"/>
      <c r="CK18" s="286"/>
      <c r="CL18" s="235"/>
      <c r="CM18" s="41"/>
      <c r="CN18" s="41"/>
      <c r="CO18" s="39"/>
      <c r="CP18" s="205"/>
      <c r="CQ18" s="205"/>
      <c r="CR18" s="282"/>
      <c r="CS18" s="205"/>
      <c r="CT18" s="41"/>
      <c r="CU18" s="41"/>
      <c r="CV18" s="41"/>
      <c r="CW18" s="41"/>
      <c r="CX18" s="237"/>
      <c r="CY18" s="41"/>
      <c r="CZ18" s="41"/>
      <c r="DA18" s="39"/>
      <c r="DB18" s="41"/>
      <c r="DC18" s="41"/>
      <c r="DD18" s="237"/>
      <c r="DE18" s="39">
        <f t="shared" si="20"/>
        <v>163.7795275590551</v>
      </c>
      <c r="DF18" s="39">
        <f t="shared" si="20"/>
        <v>40.94488188976378</v>
      </c>
      <c r="DG18" s="39">
        <f t="shared" si="20"/>
        <v>37.79527559055118</v>
      </c>
      <c r="DH18" s="39">
        <f t="shared" si="20"/>
        <v>256.6929133858268</v>
      </c>
      <c r="DI18" s="39">
        <f t="shared" si="20"/>
        <v>214.17322834645668</v>
      </c>
      <c r="DJ18" s="243">
        <f t="shared" si="20"/>
        <v>137.00787401574803</v>
      </c>
      <c r="DK18" s="39">
        <f t="shared" si="20"/>
        <v>215018.20544773407</v>
      </c>
      <c r="DL18" s="39">
        <f t="shared" si="20"/>
        <v>53754.55136193352</v>
      </c>
      <c r="DM18" s="39">
        <f t="shared" si="20"/>
        <v>49619.58587255401</v>
      </c>
      <c r="DN18" s="39">
        <f t="shared" si="20"/>
        <v>336999.68738442933</v>
      </c>
      <c r="DO18" s="39">
        <f t="shared" si="20"/>
        <v>281177.65327780606</v>
      </c>
      <c r="DP18" s="243">
        <f t="shared" si="20"/>
        <v>179870.99878800832</v>
      </c>
      <c r="DQ18" s="39">
        <f>DK18+Commerical!I18</f>
        <v>215018.20544773407</v>
      </c>
      <c r="DR18" s="39">
        <f>DL18+Commerical!J18</f>
        <v>53754.55136193352</v>
      </c>
      <c r="DS18" s="39">
        <f>DM18+Commerical!K18</f>
        <v>49619.58587255401</v>
      </c>
      <c r="DT18" s="39">
        <f>DN18+Commerical!L18</f>
        <v>336999.68738442933</v>
      </c>
      <c r="DU18" s="39">
        <f>DO18+Commerical!M18</f>
        <v>281177.65327780606</v>
      </c>
      <c r="DV18" s="243">
        <f>DP18+Commerical!N18</f>
        <v>179870.99878800832</v>
      </c>
      <c r="DW18" s="39"/>
      <c r="DY18" s="39"/>
      <c r="DZ18" s="38"/>
      <c r="EB18" s="38"/>
      <c r="EC18" s="38"/>
      <c r="ED18" s="38"/>
    </row>
    <row r="19" spans="1:134" ht="12.75">
      <c r="A19" s="88" t="s">
        <v>180</v>
      </c>
      <c r="B19" s="29">
        <f>Commerical!B19</f>
        <v>6.166666666666667</v>
      </c>
      <c r="C19" s="41"/>
      <c r="E19" s="41"/>
      <c r="F19" s="41"/>
      <c r="G19" s="235"/>
      <c r="H19" s="41"/>
      <c r="J19" s="205"/>
      <c r="K19" s="205"/>
      <c r="L19" s="216"/>
      <c r="M19" s="205"/>
      <c r="N19" s="205"/>
      <c r="O19" s="205"/>
      <c r="P19" s="205"/>
      <c r="Q19" s="205"/>
      <c r="R19" s="271"/>
      <c r="S19" s="205"/>
      <c r="X19" s="216"/>
      <c r="Y19" s="205"/>
      <c r="AB19" s="398"/>
      <c r="AE19" s="622"/>
      <c r="AF19" s="205"/>
      <c r="AG19" s="205"/>
      <c r="AH19" s="205"/>
      <c r="AI19" s="205"/>
      <c r="AJ19" s="216"/>
      <c r="AK19" s="205"/>
      <c r="AL19" s="205"/>
      <c r="AM19" s="41"/>
      <c r="AN19" s="41"/>
      <c r="AO19" s="41"/>
      <c r="AP19" s="498"/>
      <c r="AQ19" s="39"/>
      <c r="AR19" s="39"/>
      <c r="AS19" s="205"/>
      <c r="AT19" s="205"/>
      <c r="AU19" s="205"/>
      <c r="AV19" s="235"/>
      <c r="AW19" s="41"/>
      <c r="AX19" s="41"/>
      <c r="AY19" s="41"/>
      <c r="AZ19" s="41"/>
      <c r="BA19" s="41"/>
      <c r="BB19" s="237"/>
      <c r="BC19" s="41"/>
      <c r="BD19" s="41"/>
      <c r="BE19" s="210"/>
      <c r="BF19" s="41"/>
      <c r="BG19" s="41"/>
      <c r="BH19" s="224"/>
      <c r="BI19" s="210"/>
      <c r="BJ19" s="210"/>
      <c r="BK19" s="41"/>
      <c r="BL19" s="286"/>
      <c r="BM19" s="41"/>
      <c r="BN19" s="216"/>
      <c r="BO19" s="205"/>
      <c r="BR19" s="205"/>
      <c r="BS19" s="205"/>
      <c r="BT19" s="216"/>
      <c r="BU19" s="205"/>
      <c r="BV19" s="205"/>
      <c r="BW19" s="205"/>
      <c r="BX19" s="205"/>
      <c r="BY19" s="205"/>
      <c r="BZ19" s="235"/>
      <c r="CA19" s="41"/>
      <c r="CC19" s="205"/>
      <c r="CD19" s="205"/>
      <c r="CE19" s="400"/>
      <c r="CF19" s="216"/>
      <c r="CG19" s="205"/>
      <c r="CH19" s="286"/>
      <c r="CI19" s="39"/>
      <c r="CJ19" s="286"/>
      <c r="CK19" s="286"/>
      <c r="CL19" s="498"/>
      <c r="CM19" s="39"/>
      <c r="CN19" s="39"/>
      <c r="CO19" s="39"/>
      <c r="CP19" s="205"/>
      <c r="CQ19" s="205"/>
      <c r="CR19" s="282"/>
      <c r="CS19" s="205"/>
      <c r="CT19" s="41"/>
      <c r="CU19" s="41"/>
      <c r="CV19" s="41"/>
      <c r="CW19" s="41"/>
      <c r="CX19" s="237"/>
      <c r="CY19" s="41"/>
      <c r="CZ19" s="41"/>
      <c r="DA19" s="39"/>
      <c r="DB19" s="41"/>
      <c r="DC19" s="41"/>
      <c r="DD19" s="224"/>
      <c r="DE19" s="210"/>
      <c r="DF19" s="39"/>
      <c r="DG19" s="39"/>
      <c r="DH19" s="39"/>
      <c r="DI19" s="39"/>
      <c r="DJ19" s="243"/>
      <c r="DK19" s="39"/>
      <c r="DL19" s="39"/>
      <c r="DM19" s="39"/>
      <c r="DN19" s="39"/>
      <c r="DO19" s="39"/>
      <c r="DP19" s="243"/>
      <c r="DQ19" s="39">
        <f>DK19+Commerical!I19</f>
        <v>50432.43243243243</v>
      </c>
      <c r="DR19" s="39">
        <f>DL19+Commerical!J19</f>
        <v>101027.02702702703</v>
      </c>
      <c r="DS19" s="39">
        <f>DM19+Commerical!K19</f>
        <v>94864.86486486487</v>
      </c>
      <c r="DT19" s="39">
        <f>DN19+Commerical!L19</f>
        <v>84972.97297297297</v>
      </c>
      <c r="DU19" s="39">
        <f>DO19+Commerical!M19</f>
        <v>76378.37837837837</v>
      </c>
      <c r="DV19" s="243">
        <f>DP19+Commerical!N19</f>
        <v>91297.2972972973</v>
      </c>
      <c r="DW19" s="39"/>
      <c r="DX19" s="39"/>
      <c r="DY19" s="38"/>
      <c r="DZ19" s="38"/>
      <c r="EA19" s="546"/>
      <c r="EB19" s="38"/>
      <c r="EC19" s="38"/>
      <c r="ED19" s="38"/>
    </row>
    <row r="20" spans="1:134" ht="12.75">
      <c r="A20" s="88" t="s">
        <v>181</v>
      </c>
      <c r="B20" s="29">
        <f>Commerical!B20</f>
        <v>0.9772375226319999</v>
      </c>
      <c r="C20" s="41"/>
      <c r="E20" s="41"/>
      <c r="F20" s="41"/>
      <c r="G20" s="235"/>
      <c r="H20" s="41"/>
      <c r="I20" s="205"/>
      <c r="J20" s="205"/>
      <c r="K20" s="205"/>
      <c r="L20" s="216"/>
      <c r="M20" s="205"/>
      <c r="O20" s="205"/>
      <c r="P20" s="205"/>
      <c r="Q20" s="205"/>
      <c r="R20" s="271"/>
      <c r="S20" s="205"/>
      <c r="X20" s="216"/>
      <c r="Y20" s="205"/>
      <c r="AB20" s="398"/>
      <c r="AC20" s="398"/>
      <c r="AD20" s="398"/>
      <c r="AE20" s="624"/>
      <c r="AF20" s="205"/>
      <c r="AG20" s="205"/>
      <c r="AH20" s="205"/>
      <c r="AI20" s="205"/>
      <c r="AJ20" s="216"/>
      <c r="AK20" s="205"/>
      <c r="AL20" s="205"/>
      <c r="AM20" s="41"/>
      <c r="AN20" s="41"/>
      <c r="AO20" s="41"/>
      <c r="AP20" s="498"/>
      <c r="AQ20" s="39"/>
      <c r="AR20" s="39"/>
      <c r="AS20" s="205"/>
      <c r="AT20" s="205"/>
      <c r="AU20" s="205"/>
      <c r="AV20" s="235"/>
      <c r="AW20" s="41"/>
      <c r="AX20" s="41"/>
      <c r="AY20" s="41"/>
      <c r="AZ20" s="41"/>
      <c r="BA20" s="41"/>
      <c r="BB20" s="237"/>
      <c r="BC20" s="41"/>
      <c r="BD20" s="41"/>
      <c r="BE20" s="210"/>
      <c r="BF20" s="41"/>
      <c r="BG20" s="41"/>
      <c r="BH20" s="224"/>
      <c r="BI20" s="210"/>
      <c r="BJ20" s="210"/>
      <c r="BK20" s="41"/>
      <c r="BL20" s="286"/>
      <c r="BM20" s="41"/>
      <c r="BN20" s="216"/>
      <c r="BO20" s="205"/>
      <c r="BR20" s="205"/>
      <c r="BS20" s="205"/>
      <c r="BT20" s="216"/>
      <c r="BU20" s="205"/>
      <c r="BV20" s="286"/>
      <c r="BW20" s="205"/>
      <c r="BX20" s="205"/>
      <c r="BY20" s="205"/>
      <c r="BZ20" s="235"/>
      <c r="CA20" s="41"/>
      <c r="CB20" s="41"/>
      <c r="CC20" s="205"/>
      <c r="CD20" s="205"/>
      <c r="CE20" s="400"/>
      <c r="CF20" s="216"/>
      <c r="CG20" s="205"/>
      <c r="CH20" s="205"/>
      <c r="CI20" s="39"/>
      <c r="CJ20" s="286"/>
      <c r="CK20" s="286"/>
      <c r="CL20" s="498"/>
      <c r="CM20" s="39"/>
      <c r="CN20" s="39"/>
      <c r="CO20" s="39"/>
      <c r="CP20" s="205"/>
      <c r="CQ20" s="205"/>
      <c r="CR20" s="282"/>
      <c r="CS20" s="205"/>
      <c r="CT20" s="41"/>
      <c r="CU20" s="41"/>
      <c r="CV20" s="41"/>
      <c r="CW20" s="41"/>
      <c r="CX20" s="237"/>
      <c r="CY20" s="41"/>
      <c r="CZ20" s="41"/>
      <c r="DA20" s="39"/>
      <c r="DB20" s="41"/>
      <c r="DC20" s="41"/>
      <c r="DD20" s="224"/>
      <c r="DE20" s="210"/>
      <c r="DF20" s="39"/>
      <c r="DG20" s="39"/>
      <c r="DH20" s="39"/>
      <c r="DI20" s="39"/>
      <c r="DJ20" s="243"/>
      <c r="DK20" s="39"/>
      <c r="DL20" s="39"/>
      <c r="DM20" s="39"/>
      <c r="DN20" s="39"/>
      <c r="DO20" s="39"/>
      <c r="DP20" s="243"/>
      <c r="DQ20" s="39">
        <f>DK20+Commerical!I20</f>
        <v>12299977.970172962</v>
      </c>
      <c r="DR20" s="39">
        <f>DL20+Commerical!J20</f>
        <v>14716995.271799296</v>
      </c>
      <c r="DS20" s="39">
        <f>DM20+Commerical!K20</f>
        <v>16382915.748957498</v>
      </c>
      <c r="DT20" s="39">
        <f>DN20+Commerical!L20</f>
        <v>19205156.950433124</v>
      </c>
      <c r="DU20" s="39">
        <f>DO20+Commerical!M20</f>
        <v>20775911.208687324</v>
      </c>
      <c r="DV20" s="243">
        <f>DP20+Commerical!N20</f>
        <v>21330535.839289133</v>
      </c>
      <c r="DW20" s="39"/>
      <c r="DX20" s="39"/>
      <c r="DY20" s="38"/>
      <c r="DZ20" s="38"/>
      <c r="EA20" s="546"/>
      <c r="EB20" s="38"/>
      <c r="EC20" s="38"/>
      <c r="ED20" s="38"/>
    </row>
    <row r="21" spans="1:134" ht="12.75">
      <c r="A21" s="88" t="s">
        <v>742</v>
      </c>
      <c r="B21" s="29">
        <f>Commerical!B21</f>
        <v>0.9</v>
      </c>
      <c r="C21" s="41"/>
      <c r="E21" s="41"/>
      <c r="F21" s="41"/>
      <c r="G21" s="235"/>
      <c r="H21" s="41"/>
      <c r="I21" s="205"/>
      <c r="J21" s="205"/>
      <c r="K21" s="205"/>
      <c r="L21" s="216"/>
      <c r="M21" s="205"/>
      <c r="O21" s="205"/>
      <c r="P21" s="205"/>
      <c r="Q21" s="205"/>
      <c r="R21" s="271"/>
      <c r="S21" s="205"/>
      <c r="T21" s="205"/>
      <c r="U21" s="205"/>
      <c r="V21" s="205"/>
      <c r="W21" s="205"/>
      <c r="X21" s="216"/>
      <c r="Y21" s="205"/>
      <c r="AB21" s="398"/>
      <c r="AC21" s="397"/>
      <c r="AD21" s="397"/>
      <c r="AE21" s="621"/>
      <c r="AF21" s="205"/>
      <c r="AG21" s="205"/>
      <c r="AH21" s="205"/>
      <c r="AI21" s="205"/>
      <c r="AJ21" s="216"/>
      <c r="AK21" s="205"/>
      <c r="AL21" s="205"/>
      <c r="AM21" s="41"/>
      <c r="AN21" s="41"/>
      <c r="AO21" s="41"/>
      <c r="AP21" s="498"/>
      <c r="AQ21" s="39"/>
      <c r="AR21" s="39"/>
      <c r="AS21" s="205"/>
      <c r="AT21" s="205"/>
      <c r="AU21" s="205"/>
      <c r="AV21" s="235"/>
      <c r="AW21" s="41"/>
      <c r="AX21" s="41"/>
      <c r="AY21" s="41"/>
      <c r="AZ21" s="41"/>
      <c r="BA21" s="41"/>
      <c r="BB21" s="237"/>
      <c r="BC21" s="41"/>
      <c r="BD21" s="41"/>
      <c r="BE21" s="210"/>
      <c r="BF21" s="41"/>
      <c r="BG21" s="41"/>
      <c r="BH21" s="224"/>
      <c r="BI21" s="210"/>
      <c r="BJ21" s="210"/>
      <c r="BK21" s="41"/>
      <c r="BL21" s="286"/>
      <c r="BM21" s="41"/>
      <c r="BN21" s="216"/>
      <c r="BO21" s="205"/>
      <c r="BP21" s="205"/>
      <c r="BQ21" s="205"/>
      <c r="BR21" s="205"/>
      <c r="BS21" s="205"/>
      <c r="BT21" s="216"/>
      <c r="BU21" s="205"/>
      <c r="BV21" s="286"/>
      <c r="BW21" s="205"/>
      <c r="BX21" s="205"/>
      <c r="BY21" s="205"/>
      <c r="BZ21" s="235"/>
      <c r="CA21" s="41"/>
      <c r="CB21" s="41"/>
      <c r="CC21" s="205"/>
      <c r="CD21" s="205"/>
      <c r="CE21" s="400"/>
      <c r="CF21" s="216"/>
      <c r="CG21" s="205"/>
      <c r="CH21" s="205"/>
      <c r="CI21" s="39"/>
      <c r="CJ21" s="286"/>
      <c r="CK21" s="286"/>
      <c r="CL21" s="498"/>
      <c r="CM21" s="39"/>
      <c r="CN21" s="39"/>
      <c r="CO21" s="39"/>
      <c r="CP21" s="205"/>
      <c r="CQ21" s="205"/>
      <c r="CR21" s="282"/>
      <c r="CS21" s="205"/>
      <c r="CT21" s="41"/>
      <c r="CU21" s="41"/>
      <c r="CV21" s="41"/>
      <c r="CW21" s="41"/>
      <c r="CX21" s="237"/>
      <c r="CY21" s="41"/>
      <c r="CZ21" s="41"/>
      <c r="DA21" s="39"/>
      <c r="DB21" s="41"/>
      <c r="DC21" s="41"/>
      <c r="DD21" s="224"/>
      <c r="DE21" s="210"/>
      <c r="DF21" s="39"/>
      <c r="DG21" s="39"/>
      <c r="DH21" s="39"/>
      <c r="DI21" s="39"/>
      <c r="DJ21" s="243"/>
      <c r="DK21" s="39"/>
      <c r="DL21" s="39"/>
      <c r="DM21" s="39"/>
      <c r="DN21" s="39"/>
      <c r="DO21" s="39"/>
      <c r="DP21" s="243"/>
      <c r="DQ21" s="39">
        <f>DK21+Commerical!I21</f>
        <v>7777.777777777777</v>
      </c>
      <c r="DR21" s="39">
        <f>DL21+Commerical!J21</f>
        <v>14444.444444444443</v>
      </c>
      <c r="DS21" s="39">
        <f>DM21+Commerical!K21</f>
        <v>128888.88888888889</v>
      </c>
      <c r="DT21" s="39">
        <f>DN21+Commerical!L21</f>
        <v>82222.22222222222</v>
      </c>
      <c r="DU21" s="39">
        <f>DO21+Commerical!M21</f>
        <v>74444.44444444444</v>
      </c>
      <c r="DV21" s="243">
        <f>DP21+Commerical!N21</f>
        <v>95555.55555555555</v>
      </c>
      <c r="DW21" s="39"/>
      <c r="DX21" s="39"/>
      <c r="DY21" s="38"/>
      <c r="DZ21" s="38"/>
      <c r="EA21" s="546"/>
      <c r="EB21" s="38"/>
      <c r="EC21" s="38"/>
      <c r="ED21" s="38"/>
    </row>
    <row r="22" spans="1:134" ht="13.5">
      <c r="A22" s="88" t="s">
        <v>183</v>
      </c>
      <c r="B22" s="29">
        <f>Commerical!B22</f>
        <v>17.63698096</v>
      </c>
      <c r="C22" s="41">
        <v>659</v>
      </c>
      <c r="D22" s="397">
        <v>685</v>
      </c>
      <c r="E22" s="398">
        <v>1083</v>
      </c>
      <c r="F22" s="398">
        <v>659</v>
      </c>
      <c r="G22" s="494">
        <v>226</v>
      </c>
      <c r="H22" s="401"/>
      <c r="I22" s="205"/>
      <c r="J22" s="205"/>
      <c r="K22" s="205"/>
      <c r="L22" s="216"/>
      <c r="M22" s="205"/>
      <c r="N22" s="205"/>
      <c r="O22" s="205"/>
      <c r="P22" s="205"/>
      <c r="Q22" s="205"/>
      <c r="R22" s="271">
        <v>130</v>
      </c>
      <c r="S22" s="205">
        <v>16</v>
      </c>
      <c r="T22" s="205">
        <v>22</v>
      </c>
      <c r="U22" s="205"/>
      <c r="V22" s="398">
        <v>76</v>
      </c>
      <c r="W22" s="398">
        <v>99</v>
      </c>
      <c r="X22" s="216">
        <v>89</v>
      </c>
      <c r="Y22" s="205"/>
      <c r="AB22" s="402"/>
      <c r="AC22" s="395"/>
      <c r="AD22" s="396"/>
      <c r="AE22" s="625"/>
      <c r="AF22" s="205"/>
      <c r="AG22" s="205"/>
      <c r="AH22" s="205"/>
      <c r="AI22" s="205"/>
      <c r="AJ22" s="216"/>
      <c r="AK22" s="205"/>
      <c r="AL22" s="205"/>
      <c r="AM22" s="41"/>
      <c r="AN22" s="41"/>
      <c r="AO22" s="41"/>
      <c r="AP22" s="498"/>
      <c r="AQ22" s="39"/>
      <c r="AR22" s="39"/>
      <c r="AS22" s="205"/>
      <c r="AT22" s="205"/>
      <c r="AU22" s="205"/>
      <c r="AV22" s="235"/>
      <c r="AW22" s="41">
        <f t="shared" si="0"/>
        <v>675</v>
      </c>
      <c r="AX22" s="41">
        <f t="shared" si="0"/>
        <v>707</v>
      </c>
      <c r="AY22" s="41">
        <f t="shared" si="1"/>
        <v>1083</v>
      </c>
      <c r="AZ22" s="41">
        <f>(F22+K22+P22+V22+AB22+(AH22/0.212)+(AN22/0.55)+(AT22/0.635))</f>
        <v>735</v>
      </c>
      <c r="BA22" s="41">
        <f>(G22+L22+Q22+W22+AC22+(AI22/0.212)+(AO22/0.55)+(AU22/0.635))</f>
        <v>325</v>
      </c>
      <c r="BB22" s="237">
        <f>(R22+X22+AD22+(AJ22/0.212)+(AP22/0.55)+(AV22/0.635))</f>
        <v>219</v>
      </c>
      <c r="BC22" s="41">
        <f>AW22*1000/0.45359237/$B22</f>
        <v>84375.00007075608</v>
      </c>
      <c r="BD22" s="41">
        <f>AX22*1000/0.45359237/$B22</f>
        <v>88375.00007411044</v>
      </c>
      <c r="BE22" s="41">
        <f aca="true" t="shared" si="21" ref="BE22:BH23">AY22*1000/0.45359237/$B22</f>
        <v>135375.0001135242</v>
      </c>
      <c r="BF22" s="41">
        <f t="shared" si="21"/>
        <v>91875.00007704551</v>
      </c>
      <c r="BG22" s="41">
        <f t="shared" si="21"/>
        <v>40625.00003406774</v>
      </c>
      <c r="BH22" s="237">
        <f t="shared" si="21"/>
        <v>27375.000022956418</v>
      </c>
      <c r="BI22" s="41"/>
      <c r="BJ22" s="41"/>
      <c r="BK22" s="41"/>
      <c r="BL22" s="286"/>
      <c r="BM22" s="41"/>
      <c r="BN22" s="216"/>
      <c r="BO22" s="205"/>
      <c r="BP22" s="205"/>
      <c r="BQ22" s="205"/>
      <c r="BR22" s="205"/>
      <c r="BS22" s="205"/>
      <c r="BT22" s="216"/>
      <c r="BU22" s="205"/>
      <c r="BV22" s="286"/>
      <c r="BW22" s="205"/>
      <c r="BX22" s="205"/>
      <c r="BY22" s="205"/>
      <c r="BZ22" s="235"/>
      <c r="CA22" s="41"/>
      <c r="CB22" s="41"/>
      <c r="CC22" s="205"/>
      <c r="CD22" s="205"/>
      <c r="CE22" s="400"/>
      <c r="CF22" s="216"/>
      <c r="CG22" s="205"/>
      <c r="CH22" s="205"/>
      <c r="CI22" s="39"/>
      <c r="CJ22" s="286"/>
      <c r="CK22" s="286"/>
      <c r="CL22" s="498"/>
      <c r="CM22" s="39"/>
      <c r="CN22" s="39"/>
      <c r="CO22" s="39"/>
      <c r="CP22" s="205"/>
      <c r="CQ22" s="205"/>
      <c r="CR22" s="282"/>
      <c r="CS22" s="205"/>
      <c r="CT22" s="41"/>
      <c r="CU22" s="41"/>
      <c r="CV22" s="41"/>
      <c r="CW22" s="41"/>
      <c r="CX22" s="237"/>
      <c r="CY22" s="41"/>
      <c r="CZ22" s="41"/>
      <c r="DA22" s="39"/>
      <c r="DB22" s="41"/>
      <c r="DC22" s="41"/>
      <c r="DD22" s="237"/>
      <c r="DE22" s="39">
        <f aca="true" t="shared" si="22" ref="DE22:DP23">AW22-CS22</f>
        <v>675</v>
      </c>
      <c r="DF22" s="39">
        <f t="shared" si="22"/>
        <v>707</v>
      </c>
      <c r="DG22" s="39">
        <f t="shared" si="22"/>
        <v>1083</v>
      </c>
      <c r="DH22" s="39">
        <f t="shared" si="22"/>
        <v>735</v>
      </c>
      <c r="DI22" s="39">
        <f t="shared" si="22"/>
        <v>325</v>
      </c>
      <c r="DJ22" s="243">
        <f t="shared" si="22"/>
        <v>219</v>
      </c>
      <c r="DK22" s="39">
        <f t="shared" si="22"/>
        <v>84375.00007075608</v>
      </c>
      <c r="DL22" s="39">
        <f t="shared" si="22"/>
        <v>88375.00007411044</v>
      </c>
      <c r="DM22" s="39">
        <f t="shared" si="22"/>
        <v>135375.0001135242</v>
      </c>
      <c r="DN22" s="39">
        <f t="shared" si="22"/>
        <v>91875.00007704551</v>
      </c>
      <c r="DO22" s="39">
        <f t="shared" si="22"/>
        <v>40625.00003406774</v>
      </c>
      <c r="DP22" s="243">
        <f t="shared" si="22"/>
        <v>27375.000022956418</v>
      </c>
      <c r="DQ22" s="39">
        <f>DK22+Commerical!I22</f>
        <v>89421.21519123779</v>
      </c>
      <c r="DR22" s="39">
        <f>DL22+Commerical!J22</f>
        <v>92627.4285464265</v>
      </c>
      <c r="DS22" s="39">
        <f>DM22+Commerical!K22</f>
        <v>141385.0990210642</v>
      </c>
      <c r="DT22" s="39">
        <f>DN22+Commerical!L22</f>
        <v>98565.48754015609</v>
      </c>
      <c r="DU22" s="39">
        <f>DO22+Commerical!M22</f>
        <v>51624.61501579192</v>
      </c>
      <c r="DV22" s="243">
        <f>DP22+Commerical!N22</f>
        <v>35539.66268980323</v>
      </c>
      <c r="DW22" s="39"/>
      <c r="DX22" s="39"/>
      <c r="DY22" s="38"/>
      <c r="DZ22" s="38"/>
      <c r="EA22" s="546"/>
      <c r="EB22" s="38"/>
      <c r="EC22" s="38"/>
      <c r="ED22" s="38"/>
    </row>
    <row r="23" spans="1:134" ht="12.75">
      <c r="A23" s="88" t="s">
        <v>713</v>
      </c>
      <c r="B23" s="29">
        <f>SUM(Commerical!C22:H22,Commerical!C45:H45)*1000/SUM(Commerical!I22:N22,Commerical!I45:N45)</f>
        <v>3.3163855767745907</v>
      </c>
      <c r="C23" s="41"/>
      <c r="E23" s="398"/>
      <c r="F23" s="398"/>
      <c r="G23" s="494"/>
      <c r="H23" s="401"/>
      <c r="J23" s="205"/>
      <c r="K23" s="205"/>
      <c r="L23" s="216"/>
      <c r="M23" s="205"/>
      <c r="N23" s="205"/>
      <c r="O23" s="205"/>
      <c r="P23" s="205"/>
      <c r="Q23" s="205"/>
      <c r="R23" s="271"/>
      <c r="S23" s="205"/>
      <c r="T23" s="205"/>
      <c r="U23" s="205"/>
      <c r="X23" s="216"/>
      <c r="Y23" s="205"/>
      <c r="Z23" s="205"/>
      <c r="AA23" s="205"/>
      <c r="AB23" s="398"/>
      <c r="AE23" s="622"/>
      <c r="AF23" s="205"/>
      <c r="AG23" s="205"/>
      <c r="AH23" s="205"/>
      <c r="AI23" s="205"/>
      <c r="AJ23" s="216"/>
      <c r="AK23" s="205">
        <v>152</v>
      </c>
      <c r="AL23" s="205">
        <v>169</v>
      </c>
      <c r="AM23" s="400">
        <v>166</v>
      </c>
      <c r="AN23" s="400">
        <v>153</v>
      </c>
      <c r="AO23" s="400">
        <v>139</v>
      </c>
      <c r="AP23" s="498">
        <v>149</v>
      </c>
      <c r="AQ23" s="39"/>
      <c r="AR23" s="39"/>
      <c r="AS23" s="205"/>
      <c r="AT23" s="205"/>
      <c r="AU23" s="205"/>
      <c r="AV23" s="235"/>
      <c r="AW23" s="41">
        <f t="shared" si="0"/>
        <v>276.3636363636363</v>
      </c>
      <c r="AX23" s="41">
        <f t="shared" si="0"/>
        <v>307.27272727272725</v>
      </c>
      <c r="AY23" s="41">
        <f t="shared" si="1"/>
        <v>301.8181818181818</v>
      </c>
      <c r="AZ23" s="41">
        <f>(F23+K23+P23+V23+AB23+(AH23/0.212)+(AN23/0.55)+(AT23/0.635))</f>
        <v>278.1818181818182</v>
      </c>
      <c r="BA23" s="41">
        <f>(G23+L23+Q23+W23+AC23+(AI23/0.212)+(AO23/0.55)+(AU23/0.635))</f>
        <v>252.72727272727272</v>
      </c>
      <c r="BB23" s="237">
        <f>(R23+X23+AD23+(AJ23/0.212)+(AP23/0.55)+(AV23/0.635))</f>
        <v>270.9090909090909</v>
      </c>
      <c r="BC23" s="41">
        <f>AW23*1000/0.45359237/$B23</f>
        <v>183717.3363828898</v>
      </c>
      <c r="BD23" s="41">
        <f>AX23*1000/0.45359237/$B23</f>
        <v>204264.67005729198</v>
      </c>
      <c r="BE23" s="41">
        <f t="shared" si="21"/>
        <v>200638.6699971034</v>
      </c>
      <c r="BF23" s="41">
        <f t="shared" si="21"/>
        <v>184926.0030696194</v>
      </c>
      <c r="BG23" s="41">
        <f t="shared" si="21"/>
        <v>168004.66945540585</v>
      </c>
      <c r="BH23" s="237">
        <f t="shared" si="21"/>
        <v>180091.33632270122</v>
      </c>
      <c r="BI23" s="41"/>
      <c r="BJ23" s="41"/>
      <c r="BK23" s="41"/>
      <c r="BL23" s="286"/>
      <c r="BM23" s="41"/>
      <c r="BN23" s="216"/>
      <c r="BO23" s="205"/>
      <c r="BR23" s="205"/>
      <c r="BS23" s="205"/>
      <c r="BT23" s="216"/>
      <c r="BU23" s="205"/>
      <c r="BV23" s="286"/>
      <c r="BW23" s="205"/>
      <c r="BX23" s="205"/>
      <c r="BY23" s="205"/>
      <c r="BZ23" s="235"/>
      <c r="CA23" s="41"/>
      <c r="CB23" s="41"/>
      <c r="CC23" s="205"/>
      <c r="CD23" s="205"/>
      <c r="CE23" s="400"/>
      <c r="CF23" s="216"/>
      <c r="CG23" s="205"/>
      <c r="CH23" s="205"/>
      <c r="CI23" s="39"/>
      <c r="CJ23" s="286"/>
      <c r="CK23" s="286"/>
      <c r="CL23" s="498"/>
      <c r="CM23" s="39"/>
      <c r="CN23" s="39"/>
      <c r="CO23" s="39"/>
      <c r="CP23" s="205"/>
      <c r="CQ23" s="205"/>
      <c r="CR23" s="282"/>
      <c r="CS23" s="205"/>
      <c r="CT23" s="41"/>
      <c r="CU23" s="41"/>
      <c r="CV23" s="41"/>
      <c r="CW23" s="41"/>
      <c r="CX23" s="237"/>
      <c r="CY23" s="41"/>
      <c r="CZ23" s="41"/>
      <c r="DA23" s="39"/>
      <c r="DB23" s="41"/>
      <c r="DC23" s="41"/>
      <c r="DD23" s="237"/>
      <c r="DE23" s="39">
        <f t="shared" si="22"/>
        <v>276.3636363636363</v>
      </c>
      <c r="DF23" s="39">
        <f t="shared" si="22"/>
        <v>307.27272727272725</v>
      </c>
      <c r="DG23" s="39">
        <f t="shared" si="22"/>
        <v>301.8181818181818</v>
      </c>
      <c r="DH23" s="39">
        <f t="shared" si="22"/>
        <v>278.1818181818182</v>
      </c>
      <c r="DI23" s="39">
        <f t="shared" si="22"/>
        <v>252.72727272727272</v>
      </c>
      <c r="DJ23" s="243">
        <f t="shared" si="22"/>
        <v>270.9090909090909</v>
      </c>
      <c r="DK23" s="39">
        <f t="shared" si="22"/>
        <v>183717.3363828898</v>
      </c>
      <c r="DL23" s="39">
        <f t="shared" si="22"/>
        <v>204264.67005729198</v>
      </c>
      <c r="DM23" s="39">
        <f t="shared" si="22"/>
        <v>200638.6699971034</v>
      </c>
      <c r="DN23" s="39">
        <f t="shared" si="22"/>
        <v>184926.0030696194</v>
      </c>
      <c r="DO23" s="39">
        <f t="shared" si="22"/>
        <v>168004.66945540585</v>
      </c>
      <c r="DP23" s="243">
        <f t="shared" si="22"/>
        <v>180091.33632270122</v>
      </c>
      <c r="DQ23" s="39">
        <f>DK23+Commerical!I23</f>
        <v>183717.3363828898</v>
      </c>
      <c r="DR23" s="39">
        <f>DL23+Commerical!J23</f>
        <v>204264.67005729198</v>
      </c>
      <c r="DS23" s="39">
        <f>DM23+Commerical!K24</f>
        <v>200638.6699971034</v>
      </c>
      <c r="DT23" s="39">
        <f>DN23+Commerical!L24</f>
        <v>184926.0030696194</v>
      </c>
      <c r="DU23" s="39">
        <f>DO23+Commerical!M24</f>
        <v>168004.66945540585</v>
      </c>
      <c r="DV23" s="243">
        <f>DP23+Commerical!N24</f>
        <v>180091.33632270122</v>
      </c>
      <c r="DW23" s="39"/>
      <c r="DY23" s="39"/>
      <c r="DZ23" s="38"/>
      <c r="EB23" s="38"/>
      <c r="EC23" s="38"/>
      <c r="ED23" s="38"/>
    </row>
    <row r="24" spans="1:134" ht="12.75">
      <c r="A24" s="88" t="s">
        <v>7</v>
      </c>
      <c r="B24" s="29">
        <f>SUM(Commerical!C22:H22,Commerical!C79:H80)*1000/SUM(Commerical!I79:N80,Commerical!I22:N22)</f>
        <v>1.3877211999083945</v>
      </c>
      <c r="C24" s="41"/>
      <c r="E24" s="398"/>
      <c r="F24" s="398"/>
      <c r="G24" s="494"/>
      <c r="H24" s="401"/>
      <c r="J24" s="205"/>
      <c r="K24" s="205"/>
      <c r="L24" s="216"/>
      <c r="M24" s="205"/>
      <c r="O24" s="205"/>
      <c r="P24" s="205"/>
      <c r="Q24" s="205"/>
      <c r="R24" s="271"/>
      <c r="S24" s="205">
        <v>1</v>
      </c>
      <c r="T24" s="205">
        <v>14</v>
      </c>
      <c r="U24" s="205">
        <v>28</v>
      </c>
      <c r="X24" s="216"/>
      <c r="Y24" s="205"/>
      <c r="AB24" s="398"/>
      <c r="AE24" s="622"/>
      <c r="AF24" s="205"/>
      <c r="AG24" s="205"/>
      <c r="AH24" s="205"/>
      <c r="AI24" s="205"/>
      <c r="AJ24" s="216"/>
      <c r="AK24" s="205"/>
      <c r="AL24" s="205"/>
      <c r="AM24" s="400"/>
      <c r="AN24" s="400"/>
      <c r="AO24" s="400"/>
      <c r="AP24" s="498"/>
      <c r="AQ24" s="39"/>
      <c r="AR24" s="39"/>
      <c r="AS24" s="205"/>
      <c r="AT24" s="205"/>
      <c r="AU24" s="205"/>
      <c r="AV24" s="235"/>
      <c r="AW24" s="41">
        <f t="shared" si="0"/>
        <v>1</v>
      </c>
      <c r="AX24" s="41">
        <f t="shared" si="0"/>
        <v>14</v>
      </c>
      <c r="AY24" s="41">
        <f t="shared" si="1"/>
        <v>28</v>
      </c>
      <c r="AZ24" s="41"/>
      <c r="BA24" s="41"/>
      <c r="BB24" s="237"/>
      <c r="BC24" s="41"/>
      <c r="BD24" s="41"/>
      <c r="BE24" s="210"/>
      <c r="BF24" s="41"/>
      <c r="BG24" s="41"/>
      <c r="BH24" s="237"/>
      <c r="BI24" s="41"/>
      <c r="BJ24" s="41"/>
      <c r="BK24" s="41"/>
      <c r="BL24" s="286"/>
      <c r="BM24" s="41"/>
      <c r="BN24" s="216"/>
      <c r="BO24" s="205"/>
      <c r="BP24" s="205"/>
      <c r="BQ24" s="205"/>
      <c r="BR24" s="205"/>
      <c r="BS24" s="205"/>
      <c r="BT24" s="216"/>
      <c r="BU24" s="205"/>
      <c r="BV24" s="286"/>
      <c r="BW24" s="205"/>
      <c r="BX24" s="205"/>
      <c r="BY24" s="205"/>
      <c r="BZ24" s="235"/>
      <c r="CA24" s="41"/>
      <c r="CB24" s="41"/>
      <c r="CC24" s="205"/>
      <c r="CD24" s="205"/>
      <c r="CE24" s="400"/>
      <c r="CF24" s="216"/>
      <c r="CG24" s="205"/>
      <c r="CH24" s="205"/>
      <c r="CI24" s="39"/>
      <c r="CJ24" s="286"/>
      <c r="CK24" s="286"/>
      <c r="CL24" s="498"/>
      <c r="CM24" s="39"/>
      <c r="CN24" s="39"/>
      <c r="CO24" s="39"/>
      <c r="CP24" s="205"/>
      <c r="CQ24" s="205"/>
      <c r="CR24" s="282"/>
      <c r="CS24" s="205"/>
      <c r="CT24" s="41"/>
      <c r="CU24" s="41"/>
      <c r="CV24" s="41"/>
      <c r="CW24" s="41"/>
      <c r="CX24" s="237"/>
      <c r="CY24" s="41"/>
      <c r="CZ24" s="41"/>
      <c r="DA24" s="39"/>
      <c r="DB24" s="41"/>
      <c r="DC24" s="41"/>
      <c r="DD24" s="237"/>
      <c r="DE24" s="41"/>
      <c r="DF24" s="39"/>
      <c r="DG24" s="39"/>
      <c r="DH24" s="39"/>
      <c r="DI24" s="39"/>
      <c r="DJ24" s="243"/>
      <c r="DK24" s="39"/>
      <c r="DL24" s="39"/>
      <c r="DM24" s="39"/>
      <c r="DN24" s="39"/>
      <c r="DO24" s="39"/>
      <c r="DP24" s="243"/>
      <c r="DQ24" s="39"/>
      <c r="DR24" s="39"/>
      <c r="DS24" s="39"/>
      <c r="DT24" s="39"/>
      <c r="DU24" s="39"/>
      <c r="DV24" s="243"/>
      <c r="DW24" s="39"/>
      <c r="DY24" s="39"/>
      <c r="DZ24" s="38"/>
      <c r="EB24" s="38"/>
      <c r="EC24" s="38"/>
      <c r="ED24" s="38"/>
    </row>
    <row r="25" spans="1:134" ht="12.75">
      <c r="A25" s="88" t="s">
        <v>184</v>
      </c>
      <c r="B25" s="29">
        <f>Commerical!B25</f>
        <v>38.576477786666665</v>
      </c>
      <c r="C25" s="41">
        <v>4583</v>
      </c>
      <c r="D25" s="397">
        <v>3117</v>
      </c>
      <c r="E25" s="398">
        <v>0</v>
      </c>
      <c r="F25" s="398"/>
      <c r="G25" s="494"/>
      <c r="H25" s="401"/>
      <c r="J25" s="205"/>
      <c r="K25" s="205"/>
      <c r="L25" s="216"/>
      <c r="M25" s="205"/>
      <c r="O25" s="205"/>
      <c r="P25" s="205"/>
      <c r="Q25" s="205"/>
      <c r="R25" s="271"/>
      <c r="S25" s="205">
        <v>16075</v>
      </c>
      <c r="T25" s="205">
        <v>18072</v>
      </c>
      <c r="U25" s="205">
        <v>17417</v>
      </c>
      <c r="V25" s="397">
        <v>18785</v>
      </c>
      <c r="W25" s="397">
        <v>16399</v>
      </c>
      <c r="X25" s="216">
        <v>13018</v>
      </c>
      <c r="Y25" s="205"/>
      <c r="AB25" s="398"/>
      <c r="AC25" s="397"/>
      <c r="AD25" s="397"/>
      <c r="AE25" s="621"/>
      <c r="AF25" s="205"/>
      <c r="AG25" s="205"/>
      <c r="AH25" s="205"/>
      <c r="AI25" s="205"/>
      <c r="AJ25" s="216"/>
      <c r="AK25" s="205"/>
      <c r="AL25" s="205"/>
      <c r="AM25" s="41"/>
      <c r="AN25" s="41"/>
      <c r="AO25" s="41"/>
      <c r="AP25" s="498"/>
      <c r="AQ25" s="39"/>
      <c r="AR25" s="39"/>
      <c r="AS25" s="205"/>
      <c r="AT25" s="205"/>
      <c r="AU25" s="205"/>
      <c r="AV25" s="235"/>
      <c r="AW25" s="41">
        <f t="shared" si="0"/>
        <v>20658</v>
      </c>
      <c r="AX25" s="41">
        <f t="shared" si="0"/>
        <v>21189</v>
      </c>
      <c r="AY25" s="41">
        <f t="shared" si="1"/>
        <v>17417</v>
      </c>
      <c r="AZ25" s="41">
        <f>(F25+K25+P25+V25+AB25+(AH25/0.212)+(AN25/0.55)+(AT25/0.635))</f>
        <v>18785</v>
      </c>
      <c r="BA25" s="41">
        <f>(G25+L25+Q25+W25+AC25+(AI25/0.212)+(AO25/0.55)+(AU25/0.635))</f>
        <v>16399</v>
      </c>
      <c r="BB25" s="237">
        <f>(R25+X25+AD25+(AJ25/0.212)+(AP25/0.55)+(AV25/0.635))</f>
        <v>13018</v>
      </c>
      <c r="BC25" s="41">
        <f>AW25*1000/0.45359237/$B25</f>
        <v>1180592.338523276</v>
      </c>
      <c r="BD25" s="41">
        <f>AX25*1000/0.45359237/$B25</f>
        <v>1210938.6707798284</v>
      </c>
      <c r="BE25" s="41">
        <f aca="true" t="shared" si="23" ref="BE25:BH26">AY25*1000/0.45359237/$B25</f>
        <v>995371.1278952416</v>
      </c>
      <c r="BF25" s="41">
        <f t="shared" si="23"/>
        <v>1073551.5093019526</v>
      </c>
      <c r="BG25" s="41">
        <f t="shared" si="23"/>
        <v>937193.0370531128</v>
      </c>
      <c r="BH25" s="237">
        <f t="shared" si="23"/>
        <v>743970.9101992452</v>
      </c>
      <c r="BI25" s="41"/>
      <c r="BJ25" s="41"/>
      <c r="BK25" s="41"/>
      <c r="BL25" s="286"/>
      <c r="BM25" s="41"/>
      <c r="BN25" s="216"/>
      <c r="BO25" s="205"/>
      <c r="BR25" s="205"/>
      <c r="BS25" s="205"/>
      <c r="BT25" s="216"/>
      <c r="BU25" s="205"/>
      <c r="BV25" s="286"/>
      <c r="BW25" s="205"/>
      <c r="BX25" s="205"/>
      <c r="BY25" s="205"/>
      <c r="BZ25" s="235"/>
      <c r="CA25" s="41"/>
      <c r="CB25" s="41"/>
      <c r="CC25" s="205"/>
      <c r="CD25" s="205"/>
      <c r="CE25" s="400"/>
      <c r="CF25" s="216"/>
      <c r="CG25" s="205"/>
      <c r="CH25" s="205"/>
      <c r="CI25" s="39"/>
      <c r="CJ25" s="286"/>
      <c r="CK25" s="286"/>
      <c r="CL25" s="498"/>
      <c r="CM25" s="39"/>
      <c r="CN25" s="39"/>
      <c r="CO25" s="39"/>
      <c r="CP25" s="205"/>
      <c r="CQ25" s="205"/>
      <c r="CR25" s="282"/>
      <c r="CS25" s="205"/>
      <c r="CT25" s="41"/>
      <c r="CU25" s="41"/>
      <c r="CV25" s="41"/>
      <c r="CW25" s="41"/>
      <c r="CX25" s="237"/>
      <c r="CY25" s="41"/>
      <c r="CZ25" s="41"/>
      <c r="DA25" s="39"/>
      <c r="DB25" s="41"/>
      <c r="DC25" s="41"/>
      <c r="DD25" s="237"/>
      <c r="DE25" s="39">
        <f aca="true" t="shared" si="24" ref="DE25:DP26">AW25-CS25</f>
        <v>20658</v>
      </c>
      <c r="DF25" s="39">
        <f t="shared" si="24"/>
        <v>21189</v>
      </c>
      <c r="DG25" s="39">
        <f t="shared" si="24"/>
        <v>17417</v>
      </c>
      <c r="DH25" s="39">
        <f t="shared" si="24"/>
        <v>18785</v>
      </c>
      <c r="DI25" s="39">
        <f t="shared" si="24"/>
        <v>16399</v>
      </c>
      <c r="DJ25" s="243">
        <f t="shared" si="24"/>
        <v>13018</v>
      </c>
      <c r="DK25" s="39">
        <f t="shared" si="24"/>
        <v>1180592.338523276</v>
      </c>
      <c r="DL25" s="39">
        <f t="shared" si="24"/>
        <v>1210938.6707798284</v>
      </c>
      <c r="DM25" s="39">
        <f t="shared" si="24"/>
        <v>995371.1278952416</v>
      </c>
      <c r="DN25" s="39">
        <f t="shared" si="24"/>
        <v>1073551.5093019526</v>
      </c>
      <c r="DO25" s="39">
        <f t="shared" si="24"/>
        <v>937193.0370531128</v>
      </c>
      <c r="DP25" s="243">
        <f t="shared" si="24"/>
        <v>743970.9101992452</v>
      </c>
      <c r="DQ25" s="39">
        <f>DK25+Commerical!I25</f>
        <v>1245113.5219699482</v>
      </c>
      <c r="DR25" s="39">
        <f>DL25+Commerical!J25</f>
        <v>1269393.9816164079</v>
      </c>
      <c r="DS25" s="39">
        <f>DM25+Commerical!K25</f>
        <v>1070105.7891554893</v>
      </c>
      <c r="DT25" s="39">
        <f>DN25+Commerical!L25</f>
        <v>1133795.4748825338</v>
      </c>
      <c r="DU25" s="39">
        <f>DO25+Commerical!M25</f>
        <v>1005006.3821300492</v>
      </c>
      <c r="DV25" s="243">
        <f>DP25+Commerical!N25</f>
        <v>797500.9398566893</v>
      </c>
      <c r="DW25" s="39"/>
      <c r="DX25" s="39"/>
      <c r="DY25" s="38"/>
      <c r="DZ25" s="38"/>
      <c r="EA25" s="546"/>
      <c r="EB25" s="38"/>
      <c r="EC25" s="38"/>
      <c r="ED25" s="38"/>
    </row>
    <row r="26" spans="1:134" ht="12.75">
      <c r="A26" s="88" t="s">
        <v>185</v>
      </c>
      <c r="B26" s="29">
        <f>Commerical!B26</f>
        <v>1.22046</v>
      </c>
      <c r="C26" s="41">
        <v>153</v>
      </c>
      <c r="D26" s="397">
        <v>573</v>
      </c>
      <c r="E26" s="397">
        <v>771</v>
      </c>
      <c r="F26" s="397">
        <v>1360</v>
      </c>
      <c r="G26" s="494">
        <v>798</v>
      </c>
      <c r="H26" s="401"/>
      <c r="J26" s="205"/>
      <c r="K26" s="205"/>
      <c r="L26" s="216"/>
      <c r="M26" s="205"/>
      <c r="N26" s="205"/>
      <c r="O26" s="205"/>
      <c r="P26" s="205"/>
      <c r="Q26" s="205"/>
      <c r="R26" s="271">
        <v>1709</v>
      </c>
      <c r="S26" s="205"/>
      <c r="T26" s="205"/>
      <c r="U26" s="205"/>
      <c r="V26" s="205"/>
      <c r="W26" s="205"/>
      <c r="X26" s="216"/>
      <c r="Y26" s="205"/>
      <c r="AB26" s="398"/>
      <c r="AC26" s="397"/>
      <c r="AD26" s="397"/>
      <c r="AE26" s="621"/>
      <c r="AF26" s="205"/>
      <c r="AG26" s="205"/>
      <c r="AH26" s="205"/>
      <c r="AI26" s="205"/>
      <c r="AJ26" s="216"/>
      <c r="AK26" s="205"/>
      <c r="AL26" s="205"/>
      <c r="AM26" s="41"/>
      <c r="AN26" s="41"/>
      <c r="AO26" s="41"/>
      <c r="AP26" s="498"/>
      <c r="AQ26" s="39"/>
      <c r="AR26" s="39"/>
      <c r="AS26" s="205"/>
      <c r="AT26" s="205"/>
      <c r="AU26" s="205"/>
      <c r="AV26" s="235"/>
      <c r="AW26" s="41">
        <f t="shared" si="0"/>
        <v>153</v>
      </c>
      <c r="AX26" s="41">
        <f t="shared" si="0"/>
        <v>573</v>
      </c>
      <c r="AY26" s="41">
        <f t="shared" si="1"/>
        <v>771</v>
      </c>
      <c r="AZ26" s="41">
        <f>(F26+K26+P26+V26+AB26+(AH26/0.212)+(AN26/0.55)+(AT26/0.635))</f>
        <v>1360</v>
      </c>
      <c r="BA26" s="41">
        <f>(G26+L26+Q26+W26+AC26+(AI26/0.212)+(AO26/0.55)+(AU26/0.635))</f>
        <v>798</v>
      </c>
      <c r="BB26" s="237">
        <f>(R26+X26+AD26+(AJ26/0.212)+(AP26/0.55)+(AV26/0.635))</f>
        <v>1709</v>
      </c>
      <c r="BC26" s="41">
        <f>AW26*1000/0.45359237/$B26</f>
        <v>276377.15381320374</v>
      </c>
      <c r="BD26" s="41">
        <f>AX26*1000/0.45359237/$B26</f>
        <v>1035059.5368298416</v>
      </c>
      <c r="BE26" s="41">
        <f t="shared" si="23"/>
        <v>1392724.0888233993</v>
      </c>
      <c r="BF26" s="41">
        <f t="shared" si="23"/>
        <v>2456685.811672922</v>
      </c>
      <c r="BG26" s="41">
        <f t="shared" si="23"/>
        <v>1441496.5277316119</v>
      </c>
      <c r="BH26" s="237">
        <f t="shared" si="23"/>
        <v>3087114.7442272236</v>
      </c>
      <c r="BI26" s="41">
        <v>1264</v>
      </c>
      <c r="BJ26" s="41">
        <v>1942</v>
      </c>
      <c r="BK26" s="41">
        <v>2030</v>
      </c>
      <c r="BL26" s="401">
        <v>1879</v>
      </c>
      <c r="BM26" s="401">
        <v>1463</v>
      </c>
      <c r="BN26" s="216">
        <v>1248</v>
      </c>
      <c r="BO26" s="205"/>
      <c r="BR26" s="205"/>
      <c r="BS26" s="205"/>
      <c r="BT26" s="216"/>
      <c r="BU26" s="205"/>
      <c r="BV26" s="286"/>
      <c r="BW26" s="205"/>
      <c r="BX26" s="205"/>
      <c r="BY26" s="205"/>
      <c r="BZ26" s="235"/>
      <c r="CA26" s="41"/>
      <c r="CB26" s="41"/>
      <c r="CC26" s="205"/>
      <c r="CD26" s="205"/>
      <c r="CE26" s="400"/>
      <c r="CF26" s="216"/>
      <c r="CG26" s="205"/>
      <c r="CH26" s="205"/>
      <c r="CI26" s="39"/>
      <c r="CJ26" s="286"/>
      <c r="CK26" s="286"/>
      <c r="CL26" s="498"/>
      <c r="CM26" s="39"/>
      <c r="CN26" s="39"/>
      <c r="CO26" s="39"/>
      <c r="CP26" s="205"/>
      <c r="CQ26" s="205"/>
      <c r="CR26" s="282"/>
      <c r="CS26" s="41">
        <f aca="true" t="shared" si="25" ref="CS26:CX26">(BI26+BO26+BU26+(CA26/0.212)+(CG26/0.55)+(CM26/0.635))</f>
        <v>1264</v>
      </c>
      <c r="CT26" s="41">
        <f t="shared" si="25"/>
        <v>1942</v>
      </c>
      <c r="CU26" s="41">
        <f t="shared" si="25"/>
        <v>2030</v>
      </c>
      <c r="CV26" s="41">
        <f t="shared" si="25"/>
        <v>1879</v>
      </c>
      <c r="CW26" s="41">
        <f t="shared" si="25"/>
        <v>1463</v>
      </c>
      <c r="CX26" s="237">
        <f t="shared" si="25"/>
        <v>1248</v>
      </c>
      <c r="CY26" s="41">
        <f aca="true" t="shared" si="26" ref="CY26:DD26">CS26*1000/0.45359237/$B26</f>
        <v>2283272.695554834</v>
      </c>
      <c r="CZ26" s="41">
        <f t="shared" si="26"/>
        <v>3508002.8281388343</v>
      </c>
      <c r="DA26" s="41">
        <f t="shared" si="26"/>
        <v>3666964.8512470825</v>
      </c>
      <c r="DB26" s="41">
        <f t="shared" si="26"/>
        <v>3394200.4706863393</v>
      </c>
      <c r="DC26" s="41">
        <f t="shared" si="26"/>
        <v>2642743.6341746217</v>
      </c>
      <c r="DD26" s="237">
        <f t="shared" si="26"/>
        <v>2254370.509535152</v>
      </c>
      <c r="DE26" s="39">
        <f t="shared" si="24"/>
        <v>-1111</v>
      </c>
      <c r="DF26" s="39">
        <f t="shared" si="24"/>
        <v>-1369</v>
      </c>
      <c r="DG26" s="39">
        <f t="shared" si="24"/>
        <v>-1259</v>
      </c>
      <c r="DH26" s="39">
        <f t="shared" si="24"/>
        <v>-519</v>
      </c>
      <c r="DI26" s="39">
        <f t="shared" si="24"/>
        <v>-665</v>
      </c>
      <c r="DJ26" s="243">
        <f t="shared" si="24"/>
        <v>461</v>
      </c>
      <c r="DK26" s="39">
        <f t="shared" si="24"/>
        <v>-2006895.54174163</v>
      </c>
      <c r="DL26" s="39">
        <f t="shared" si="24"/>
        <v>-2472943.2913089925</v>
      </c>
      <c r="DM26" s="39">
        <f t="shared" si="24"/>
        <v>-2274240.762423683</v>
      </c>
      <c r="DN26" s="39">
        <f t="shared" si="24"/>
        <v>-937514.6590134171</v>
      </c>
      <c r="DO26" s="39">
        <f t="shared" si="24"/>
        <v>-1201247.1064430098</v>
      </c>
      <c r="DP26" s="243">
        <f t="shared" si="24"/>
        <v>832744.2346920716</v>
      </c>
      <c r="DQ26" s="39">
        <f>DK26+Commerical!I26</f>
        <v>-1052337.4243104975</v>
      </c>
      <c r="DR26" s="39">
        <f>DL26+Commerical!J26</f>
        <v>-1778123.3054020396</v>
      </c>
      <c r="DS26" s="39">
        <f>DM26+Commerical!K26</f>
        <v>-1677744.3594280912</v>
      </c>
      <c r="DT26" s="39">
        <f>DN26+Commerical!L26</f>
        <v>-454909.7395568188</v>
      </c>
      <c r="DU26" s="39">
        <f>DO26+Commerical!M26</f>
        <v>-501510.94139048865</v>
      </c>
      <c r="DV26" s="243">
        <f>DP26+Commerical!N26</f>
        <v>1467750.70766128</v>
      </c>
      <c r="DW26" s="39"/>
      <c r="DX26" s="39"/>
      <c r="DY26" s="38"/>
      <c r="DZ26" s="38"/>
      <c r="EA26" s="546"/>
      <c r="EB26" s="38"/>
      <c r="EC26" s="38"/>
      <c r="ED26" s="38"/>
    </row>
    <row r="27" spans="1:134" ht="13.5">
      <c r="A27" s="88" t="s">
        <v>186</v>
      </c>
      <c r="B27" s="29">
        <f>Commerical!B27</f>
        <v>5.215515298831025</v>
      </c>
      <c r="C27" s="41"/>
      <c r="E27" s="41"/>
      <c r="F27" s="41"/>
      <c r="G27" s="235"/>
      <c r="H27" s="41"/>
      <c r="J27" s="205"/>
      <c r="K27" s="205"/>
      <c r="L27" s="216"/>
      <c r="M27" s="205"/>
      <c r="N27" s="205"/>
      <c r="O27" s="205"/>
      <c r="P27" s="205"/>
      <c r="Q27" s="205"/>
      <c r="R27" s="271"/>
      <c r="S27" s="205"/>
      <c r="T27" s="205"/>
      <c r="U27" s="205"/>
      <c r="V27" s="205"/>
      <c r="W27" s="205"/>
      <c r="X27" s="216"/>
      <c r="Y27" s="205"/>
      <c r="AB27" s="402"/>
      <c r="AE27" s="622"/>
      <c r="AF27" s="205"/>
      <c r="AG27" s="205"/>
      <c r="AH27" s="205"/>
      <c r="AI27" s="205"/>
      <c r="AJ27" s="216"/>
      <c r="AK27" s="205"/>
      <c r="AL27" s="205"/>
      <c r="AM27" s="41"/>
      <c r="AN27" s="41"/>
      <c r="AO27" s="41"/>
      <c r="AP27" s="498"/>
      <c r="AQ27" s="39"/>
      <c r="AR27" s="39"/>
      <c r="AS27" s="205"/>
      <c r="AT27" s="205"/>
      <c r="AU27" s="205"/>
      <c r="AV27" s="235"/>
      <c r="AW27" s="41"/>
      <c r="AX27" s="41"/>
      <c r="AY27" s="41"/>
      <c r="AZ27" s="41"/>
      <c r="BA27" s="41"/>
      <c r="BB27" s="237"/>
      <c r="BC27" s="41"/>
      <c r="BD27" s="41"/>
      <c r="BE27" s="210"/>
      <c r="BF27" s="41"/>
      <c r="BG27" s="41"/>
      <c r="BH27" s="224"/>
      <c r="BI27" s="210"/>
      <c r="BJ27" s="210"/>
      <c r="BK27" s="41"/>
      <c r="BL27" s="286"/>
      <c r="BM27" s="41"/>
      <c r="BN27" s="216"/>
      <c r="BO27" s="205"/>
      <c r="BP27" s="205"/>
      <c r="BQ27" s="205"/>
      <c r="BR27" s="205"/>
      <c r="BS27" s="205"/>
      <c r="BT27" s="216"/>
      <c r="BU27" s="205"/>
      <c r="BV27" s="286"/>
      <c r="BW27" s="205"/>
      <c r="BX27" s="205"/>
      <c r="BY27" s="205"/>
      <c r="BZ27" s="235"/>
      <c r="CA27" s="41"/>
      <c r="CB27" s="41"/>
      <c r="CC27" s="205"/>
      <c r="CD27" s="205"/>
      <c r="CE27" s="400"/>
      <c r="CF27" s="216"/>
      <c r="CG27" s="205"/>
      <c r="CH27" s="205"/>
      <c r="CI27" s="39"/>
      <c r="CJ27" s="286"/>
      <c r="CK27" s="286"/>
      <c r="CL27" s="498"/>
      <c r="CM27" s="39"/>
      <c r="CN27" s="39"/>
      <c r="CO27" s="39"/>
      <c r="CP27" s="205"/>
      <c r="CQ27" s="205"/>
      <c r="CR27" s="282"/>
      <c r="CS27" s="205"/>
      <c r="CT27" s="41"/>
      <c r="CU27" s="41"/>
      <c r="CV27" s="41"/>
      <c r="CW27" s="41"/>
      <c r="CX27" s="237"/>
      <c r="CY27" s="41"/>
      <c r="CZ27" s="41"/>
      <c r="DA27" s="39"/>
      <c r="DB27" s="41"/>
      <c r="DC27" s="41"/>
      <c r="DD27" s="224"/>
      <c r="DE27" s="210"/>
      <c r="DF27" s="39"/>
      <c r="DG27" s="39"/>
      <c r="DH27" s="39"/>
      <c r="DI27" s="39"/>
      <c r="DJ27" s="243"/>
      <c r="DK27" s="39"/>
      <c r="DL27" s="39"/>
      <c r="DM27" s="39"/>
      <c r="DN27" s="39"/>
      <c r="DO27" s="39"/>
      <c r="DP27" s="243"/>
      <c r="DQ27" s="39">
        <f>DK27+Commerical!I27</f>
        <v>18003590.176611263</v>
      </c>
      <c r="DR27" s="39">
        <f>DL27+Commerical!J27</f>
        <v>20946731.76866842</v>
      </c>
      <c r="DS27" s="39">
        <f>DM27+Commerical!K27</f>
        <v>17270393.209313117</v>
      </c>
      <c r="DT27" s="39">
        <f>DN27+Commerical!L27</f>
        <v>16558670.630178513</v>
      </c>
      <c r="DU27" s="39">
        <f>DO27+Commerical!M27</f>
        <v>9479408.489335885</v>
      </c>
      <c r="DV27" s="243">
        <f>DP27+Commerical!N27</f>
        <v>10170998.829567166</v>
      </c>
      <c r="DW27" s="138"/>
      <c r="DX27" s="39"/>
      <c r="DY27" s="38"/>
      <c r="DZ27" s="38"/>
      <c r="EA27" s="546"/>
      <c r="EB27" s="38"/>
      <c r="EC27" s="38"/>
      <c r="ED27" s="38"/>
    </row>
    <row r="28" spans="1:134" ht="12.75">
      <c r="A28" s="88" t="s">
        <v>187</v>
      </c>
      <c r="B28" s="29">
        <f>Commerical!B28</f>
        <v>1.9392358339999998</v>
      </c>
      <c r="C28" s="41"/>
      <c r="E28" s="41"/>
      <c r="F28" s="41"/>
      <c r="G28" s="235"/>
      <c r="H28" s="41"/>
      <c r="J28" s="205"/>
      <c r="K28" s="205"/>
      <c r="L28" s="216"/>
      <c r="M28" s="205"/>
      <c r="N28" s="205"/>
      <c r="O28" s="205"/>
      <c r="P28" s="205"/>
      <c r="Q28" s="205"/>
      <c r="R28" s="271"/>
      <c r="S28" s="205"/>
      <c r="T28" s="205"/>
      <c r="U28" s="205"/>
      <c r="V28" s="205"/>
      <c r="W28" s="205"/>
      <c r="X28" s="216"/>
      <c r="Y28" s="205"/>
      <c r="AB28" s="398"/>
      <c r="AE28" s="622"/>
      <c r="AF28" s="205"/>
      <c r="AG28" s="205"/>
      <c r="AH28" s="205"/>
      <c r="AI28" s="205"/>
      <c r="AJ28" s="216"/>
      <c r="AK28" s="205"/>
      <c r="AL28" s="205"/>
      <c r="AM28" s="41"/>
      <c r="AN28" s="41"/>
      <c r="AO28" s="41"/>
      <c r="AP28" s="498"/>
      <c r="AQ28" s="39"/>
      <c r="AR28" s="39"/>
      <c r="AS28" s="205"/>
      <c r="AT28" s="205"/>
      <c r="AU28" s="205"/>
      <c r="AV28" s="235"/>
      <c r="AW28" s="41"/>
      <c r="AX28" s="41"/>
      <c r="AY28" s="41"/>
      <c r="AZ28" s="41"/>
      <c r="BA28" s="41"/>
      <c r="BB28" s="237"/>
      <c r="BC28" s="41"/>
      <c r="BD28" s="41"/>
      <c r="BE28" s="210"/>
      <c r="BF28" s="41"/>
      <c r="BG28" s="41"/>
      <c r="BH28" s="224"/>
      <c r="BI28" s="210"/>
      <c r="BJ28" s="210"/>
      <c r="BK28" s="41"/>
      <c r="BL28" s="286"/>
      <c r="BM28" s="41"/>
      <c r="BN28" s="216"/>
      <c r="BO28" s="205"/>
      <c r="BP28" s="205"/>
      <c r="BQ28" s="205"/>
      <c r="BR28" s="205"/>
      <c r="BS28" s="205"/>
      <c r="BT28" s="216"/>
      <c r="BU28" s="205"/>
      <c r="BV28" s="286"/>
      <c r="BW28" s="205"/>
      <c r="BX28" s="205"/>
      <c r="BY28" s="205"/>
      <c r="BZ28" s="235"/>
      <c r="CA28" s="41"/>
      <c r="CB28" s="41"/>
      <c r="CC28" s="205"/>
      <c r="CD28" s="205"/>
      <c r="CE28" s="400"/>
      <c r="CF28" s="216"/>
      <c r="CG28" s="205"/>
      <c r="CH28" s="205"/>
      <c r="CI28" s="39"/>
      <c r="CJ28" s="286"/>
      <c r="CK28" s="286"/>
      <c r="CL28" s="498"/>
      <c r="CM28" s="39"/>
      <c r="CN28" s="39"/>
      <c r="CO28" s="39"/>
      <c r="CP28" s="205"/>
      <c r="CQ28" s="205"/>
      <c r="CR28" s="282"/>
      <c r="CS28" s="205"/>
      <c r="CT28" s="41"/>
      <c r="CU28" s="41"/>
      <c r="CV28" s="41"/>
      <c r="CW28" s="41"/>
      <c r="CX28" s="237"/>
      <c r="CY28" s="41"/>
      <c r="CZ28" s="41"/>
      <c r="DA28" s="39"/>
      <c r="DB28" s="41"/>
      <c r="DC28" s="41"/>
      <c r="DD28" s="224"/>
      <c r="DE28" s="210"/>
      <c r="DF28" s="39"/>
      <c r="DG28" s="39"/>
      <c r="DH28" s="39"/>
      <c r="DI28" s="39"/>
      <c r="DJ28" s="243"/>
      <c r="DK28" s="39"/>
      <c r="DL28" s="39"/>
      <c r="DM28" s="39"/>
      <c r="DN28" s="39"/>
      <c r="DO28" s="39"/>
      <c r="DP28" s="243"/>
      <c r="DQ28" s="39">
        <f>DK28+Commerical!I28</f>
        <v>2413321.741454578</v>
      </c>
      <c r="DR28" s="39">
        <f>DL28+Commerical!J28</f>
        <v>1800709.299393031</v>
      </c>
      <c r="DS28" s="39">
        <f>DM28+Commerical!K28</f>
        <v>2512845.4799376405</v>
      </c>
      <c r="DT28" s="39">
        <f>DN28+Commerical!L28</f>
        <v>2677343.2653060188</v>
      </c>
      <c r="DU28" s="39">
        <f>DO28+Commerical!M28</f>
        <v>3042435.5287568397</v>
      </c>
      <c r="DV28" s="243">
        <f>DP28+Commerical!N28</f>
        <v>3120301.2516114637</v>
      </c>
      <c r="DW28" s="138"/>
      <c r="DX28" s="39"/>
      <c r="DY28" s="38"/>
      <c r="DZ28" s="38"/>
      <c r="EA28" s="546"/>
      <c r="EB28" s="38"/>
      <c r="EC28" s="38"/>
      <c r="ED28" s="38"/>
    </row>
    <row r="29" spans="1:138" ht="13.5">
      <c r="A29" s="88" t="s">
        <v>188</v>
      </c>
      <c r="B29" s="29">
        <f>Commerical!B29</f>
        <v>2.889008165263333</v>
      </c>
      <c r="C29" s="41">
        <v>145</v>
      </c>
      <c r="D29" s="41">
        <v>2</v>
      </c>
      <c r="E29" s="398">
        <v>3</v>
      </c>
      <c r="F29" s="398">
        <v>1</v>
      </c>
      <c r="G29" s="494">
        <v>1</v>
      </c>
      <c r="H29" s="401"/>
      <c r="I29" s="205"/>
      <c r="J29" s="205"/>
      <c r="K29" s="205">
        <v>5</v>
      </c>
      <c r="L29" s="216"/>
      <c r="M29" s="205"/>
      <c r="O29" s="205"/>
      <c r="P29" s="205"/>
      <c r="Q29" s="205"/>
      <c r="R29" s="271">
        <v>6</v>
      </c>
      <c r="S29" s="205">
        <v>3</v>
      </c>
      <c r="T29" s="205">
        <v>5</v>
      </c>
      <c r="U29" s="205">
        <v>12</v>
      </c>
      <c r="V29" s="398">
        <v>0</v>
      </c>
      <c r="W29" s="398">
        <v>5</v>
      </c>
      <c r="X29" s="216">
        <v>26</v>
      </c>
      <c r="Y29" s="205"/>
      <c r="AB29" s="398"/>
      <c r="AE29" s="622"/>
      <c r="AF29" s="205"/>
      <c r="AG29" s="205"/>
      <c r="AH29" s="205"/>
      <c r="AI29" s="205"/>
      <c r="AJ29" s="216"/>
      <c r="AK29" s="205"/>
      <c r="AL29" s="205"/>
      <c r="AM29" s="41"/>
      <c r="AN29" s="41"/>
      <c r="AO29" s="41"/>
      <c r="AP29" s="498"/>
      <c r="AQ29" s="39"/>
      <c r="AR29" s="39"/>
      <c r="AS29" s="205"/>
      <c r="AT29" s="205"/>
      <c r="AU29" s="205"/>
      <c r="AV29" s="235"/>
      <c r="AW29" s="41">
        <f t="shared" si="0"/>
        <v>148</v>
      </c>
      <c r="AX29" s="41">
        <f t="shared" si="0"/>
        <v>7</v>
      </c>
      <c r="AY29" s="41">
        <f t="shared" si="1"/>
        <v>15</v>
      </c>
      <c r="AZ29" s="41">
        <f>(F29+K29+P29+V29+AB29+(AH29/0.212)+(AN29/0.55)+(AT29/0.635))</f>
        <v>6</v>
      </c>
      <c r="BA29" s="41">
        <f>(G29+L29+Q29+W29+AC29+(AI29/0.212)+(AO29/0.55)+(AU29/0.635))</f>
        <v>6</v>
      </c>
      <c r="BB29" s="237">
        <f>(R29+X29+AD29+(AJ29/0.212)+(AP29/0.55)+(AV29/0.635))</f>
        <v>32</v>
      </c>
      <c r="BC29" s="41">
        <f aca="true" t="shared" si="27" ref="BC29:BH29">AW29*1000/0.45359237/$B29</f>
        <v>112939.84972308933</v>
      </c>
      <c r="BD29" s="41">
        <f t="shared" si="27"/>
        <v>5341.749649065036</v>
      </c>
      <c r="BE29" s="41">
        <f t="shared" si="27"/>
        <v>11446.606390853647</v>
      </c>
      <c r="BF29" s="41">
        <f t="shared" si="27"/>
        <v>4578.642556341459</v>
      </c>
      <c r="BG29" s="41">
        <f t="shared" si="27"/>
        <v>4578.642556341459</v>
      </c>
      <c r="BH29" s="237">
        <f t="shared" si="27"/>
        <v>24419.42696715445</v>
      </c>
      <c r="BI29" s="41">
        <v>4249</v>
      </c>
      <c r="BJ29" s="41">
        <v>3145</v>
      </c>
      <c r="BK29" s="41">
        <v>3665</v>
      </c>
      <c r="BL29" s="401">
        <v>2450</v>
      </c>
      <c r="BM29" s="400">
        <v>922</v>
      </c>
      <c r="BN29" s="216">
        <v>421</v>
      </c>
      <c r="BO29" s="205"/>
      <c r="BR29" s="205"/>
      <c r="BS29" s="205"/>
      <c r="BT29" s="216"/>
      <c r="BU29" s="205"/>
      <c r="BV29" s="286"/>
      <c r="BW29" s="205"/>
      <c r="BX29" s="205"/>
      <c r="BY29" s="205"/>
      <c r="BZ29" s="235"/>
      <c r="CA29" s="41"/>
      <c r="CB29" s="41"/>
      <c r="CC29" s="205"/>
      <c r="CD29" s="205"/>
      <c r="CE29" s="515"/>
      <c r="CF29" s="216"/>
      <c r="CG29" s="205"/>
      <c r="CH29" s="205"/>
      <c r="CI29" s="39"/>
      <c r="CJ29" s="407"/>
      <c r="CK29" s="407"/>
      <c r="CL29" s="498"/>
      <c r="CM29" s="39"/>
      <c r="CN29" s="39"/>
      <c r="CO29" s="39"/>
      <c r="CP29" s="205"/>
      <c r="CQ29" s="205"/>
      <c r="CR29" s="282"/>
      <c r="CS29" s="41">
        <f aca="true" t="shared" si="28" ref="CS29:CX29">(BI29+BO29+BU29+(CA29/0.212)+(CG29/0.55)+(CM29/0.635))</f>
        <v>4249</v>
      </c>
      <c r="CT29" s="41">
        <f t="shared" si="28"/>
        <v>3145</v>
      </c>
      <c r="CU29" s="41">
        <f t="shared" si="28"/>
        <v>3665</v>
      </c>
      <c r="CV29" s="41">
        <f t="shared" si="28"/>
        <v>2450</v>
      </c>
      <c r="CW29" s="41">
        <f t="shared" si="28"/>
        <v>922</v>
      </c>
      <c r="CX29" s="237">
        <f t="shared" si="28"/>
        <v>421</v>
      </c>
      <c r="CY29" s="41">
        <f aca="true" t="shared" si="29" ref="CY29:DD29">CS29*1000/0.45359237/$B29</f>
        <v>3242442.0369824762</v>
      </c>
      <c r="CZ29" s="41">
        <f t="shared" si="29"/>
        <v>2399971.806615648</v>
      </c>
      <c r="DA29" s="41">
        <f t="shared" si="29"/>
        <v>2796787.494831908</v>
      </c>
      <c r="DB29" s="41">
        <f t="shared" si="29"/>
        <v>1869612.3771727623</v>
      </c>
      <c r="DC29" s="41">
        <f t="shared" si="29"/>
        <v>703584.7394911376</v>
      </c>
      <c r="DD29" s="237">
        <f t="shared" si="29"/>
        <v>321268.0860366257</v>
      </c>
      <c r="DE29" s="39">
        <f aca="true" t="shared" si="30" ref="DE29:DP29">AW29-CS29</f>
        <v>-4101</v>
      </c>
      <c r="DF29" s="39">
        <f t="shared" si="30"/>
        <v>-3138</v>
      </c>
      <c r="DG29" s="39">
        <f t="shared" si="30"/>
        <v>-3650</v>
      </c>
      <c r="DH29" s="39">
        <f t="shared" si="30"/>
        <v>-2444</v>
      </c>
      <c r="DI29" s="39">
        <f t="shared" si="30"/>
        <v>-916</v>
      </c>
      <c r="DJ29" s="243">
        <f t="shared" si="30"/>
        <v>-389</v>
      </c>
      <c r="DK29" s="39">
        <f t="shared" si="30"/>
        <v>-3129502.1872593868</v>
      </c>
      <c r="DL29" s="39">
        <f t="shared" si="30"/>
        <v>-2394630.056966583</v>
      </c>
      <c r="DM29" s="39">
        <f t="shared" si="30"/>
        <v>-2785340.888441054</v>
      </c>
      <c r="DN29" s="39">
        <f t="shared" si="30"/>
        <v>-1865033.734616421</v>
      </c>
      <c r="DO29" s="39">
        <f t="shared" si="30"/>
        <v>-699006.0969347961</v>
      </c>
      <c r="DP29" s="243">
        <f t="shared" si="30"/>
        <v>-296848.6590694713</v>
      </c>
      <c r="DQ29" s="39">
        <f>DK29+Commerical!I29</f>
        <v>-2071353.5683816154</v>
      </c>
      <c r="DR29" s="39">
        <f>DL29+Commerical!J29</f>
        <v>-1316405.3439131782</v>
      </c>
      <c r="DS29" s="39">
        <f>DM29+Commerical!K29</f>
        <v>-1723384.7344610074</v>
      </c>
      <c r="DT29" s="39">
        <f>DN29+Commerical!L29</f>
        <v>-1021145.5001303212</v>
      </c>
      <c r="DU29" s="39">
        <f>DO29+Commerical!M29</f>
        <v>61116.3653012478</v>
      </c>
      <c r="DV29" s="243">
        <f>DP29+Commerical!N29</f>
        <v>547731.8545261329</v>
      </c>
      <c r="DW29" s="138"/>
      <c r="DX29" s="39"/>
      <c r="DY29" s="38"/>
      <c r="DZ29" s="38"/>
      <c r="EA29" s="546"/>
      <c r="EB29" s="38"/>
      <c r="EC29" s="38"/>
      <c r="ED29" s="38"/>
      <c r="EH29" s="623"/>
    </row>
    <row r="30" spans="1:134" ht="12.75">
      <c r="A30" s="88" t="s">
        <v>189</v>
      </c>
      <c r="B30" s="29">
        <f>Commerical!B30</f>
        <v>2.56700946975</v>
      </c>
      <c r="C30" s="41"/>
      <c r="E30" s="41"/>
      <c r="F30" s="41"/>
      <c r="G30" s="235"/>
      <c r="H30" s="41"/>
      <c r="I30" s="205"/>
      <c r="J30" s="205"/>
      <c r="K30" s="205"/>
      <c r="L30" s="216"/>
      <c r="M30" s="205"/>
      <c r="O30" s="205"/>
      <c r="P30" s="205"/>
      <c r="Q30" s="205"/>
      <c r="R30" s="271"/>
      <c r="S30" s="205"/>
      <c r="V30" s="205"/>
      <c r="W30" s="205"/>
      <c r="X30" s="216"/>
      <c r="Y30" s="205"/>
      <c r="AB30" s="398"/>
      <c r="AE30" s="622"/>
      <c r="AF30" s="205"/>
      <c r="AG30" s="205"/>
      <c r="AH30" s="205"/>
      <c r="AI30" s="400"/>
      <c r="AJ30" s="216"/>
      <c r="AK30" s="205"/>
      <c r="AL30" s="205"/>
      <c r="AM30" s="41"/>
      <c r="AN30" s="41"/>
      <c r="AO30" s="41"/>
      <c r="AP30" s="498"/>
      <c r="AQ30" s="39"/>
      <c r="AR30" s="39"/>
      <c r="AS30" s="205"/>
      <c r="AT30" s="205"/>
      <c r="AU30" s="205"/>
      <c r="AV30" s="235"/>
      <c r="AW30" s="41"/>
      <c r="AX30" s="41"/>
      <c r="AY30" s="41"/>
      <c r="AZ30" s="41"/>
      <c r="BA30" s="41"/>
      <c r="BB30" s="237"/>
      <c r="BC30" s="41"/>
      <c r="BD30" s="41"/>
      <c r="BE30" s="210"/>
      <c r="BF30" s="41"/>
      <c r="BG30" s="41"/>
      <c r="BH30" s="224"/>
      <c r="BI30" s="210"/>
      <c r="BJ30" s="210"/>
      <c r="BK30" s="41"/>
      <c r="BL30" s="286"/>
      <c r="BM30" s="286"/>
      <c r="BN30" s="216"/>
      <c r="BO30" s="205"/>
      <c r="BR30" s="205"/>
      <c r="BS30" s="205"/>
      <c r="BT30" s="216"/>
      <c r="BU30" s="205"/>
      <c r="BV30" s="286"/>
      <c r="BW30" s="205"/>
      <c r="BX30" s="205"/>
      <c r="BY30" s="205"/>
      <c r="BZ30" s="235"/>
      <c r="CA30" s="41"/>
      <c r="CB30" s="41"/>
      <c r="CC30" s="205"/>
      <c r="CD30" s="205"/>
      <c r="CE30" s="400"/>
      <c r="CF30" s="216"/>
      <c r="CG30" s="205"/>
      <c r="CH30" s="205"/>
      <c r="CI30" s="39"/>
      <c r="CJ30" s="286"/>
      <c r="CK30" s="286"/>
      <c r="CL30" s="498"/>
      <c r="CM30" s="39"/>
      <c r="CN30" s="39"/>
      <c r="CO30" s="39"/>
      <c r="CP30" s="205"/>
      <c r="CQ30" s="205"/>
      <c r="CR30" s="282"/>
      <c r="CS30" s="205"/>
      <c r="CT30" s="41"/>
      <c r="CU30" s="41"/>
      <c r="CV30" s="41"/>
      <c r="CW30" s="41"/>
      <c r="CX30" s="237"/>
      <c r="CY30" s="41"/>
      <c r="CZ30" s="41"/>
      <c r="DA30" s="39"/>
      <c r="DB30" s="41"/>
      <c r="DC30" s="41"/>
      <c r="DD30" s="224"/>
      <c r="DE30" s="210"/>
      <c r="DF30" s="39"/>
      <c r="DG30" s="39"/>
      <c r="DH30" s="39"/>
      <c r="DI30" s="39"/>
      <c r="DJ30" s="243"/>
      <c r="DK30" s="39"/>
      <c r="DL30" s="39"/>
      <c r="DM30" s="39"/>
      <c r="DN30" s="39"/>
      <c r="DO30" s="39"/>
      <c r="DP30" s="243"/>
      <c r="DQ30" s="39">
        <f>DK30+Commerical!I30</f>
        <v>6191640.57916308</v>
      </c>
      <c r="DR30" s="39">
        <f>DL30+Commerical!J30</f>
        <v>5065816.917795186</v>
      </c>
      <c r="DS30" s="39">
        <f>DM30+Commerical!K30</f>
        <v>4238784.518804169</v>
      </c>
      <c r="DT30" s="39">
        <f>DN30+Commerical!L30</f>
        <v>3516543.3187432443</v>
      </c>
      <c r="DU30" s="39">
        <f>DO30+Commerical!M30</f>
        <v>3812607.6725977766</v>
      </c>
      <c r="DV30" s="243">
        <f>DP30+Commerical!N30</f>
        <v>5427327.076185984</v>
      </c>
      <c r="DW30" s="138"/>
      <c r="DX30" s="39"/>
      <c r="DY30" s="38"/>
      <c r="DZ30" s="38"/>
      <c r="EA30" s="546"/>
      <c r="EB30" s="38"/>
      <c r="EC30" s="38"/>
      <c r="ED30" s="38"/>
    </row>
    <row r="31" spans="1:134" ht="12.75">
      <c r="A31" s="88" t="s">
        <v>190</v>
      </c>
      <c r="B31" s="29">
        <f>Commerical!B31</f>
        <v>2.09793952286185</v>
      </c>
      <c r="C31" s="41"/>
      <c r="E31" s="41"/>
      <c r="F31" s="41"/>
      <c r="G31" s="235"/>
      <c r="H31" s="41"/>
      <c r="J31" s="205"/>
      <c r="K31" s="205"/>
      <c r="L31" s="216"/>
      <c r="M31" s="205"/>
      <c r="O31" s="205"/>
      <c r="P31" s="205"/>
      <c r="Q31" s="205"/>
      <c r="R31" s="271"/>
      <c r="S31" s="205"/>
      <c r="V31" s="205"/>
      <c r="W31" s="205"/>
      <c r="X31" s="216"/>
      <c r="Y31" s="205"/>
      <c r="AB31" s="398"/>
      <c r="AE31" s="622"/>
      <c r="AF31" s="205"/>
      <c r="AG31" s="205"/>
      <c r="AH31" s="205"/>
      <c r="AI31" s="205"/>
      <c r="AJ31" s="216"/>
      <c r="AK31" s="205"/>
      <c r="AL31" s="205"/>
      <c r="AM31" s="41"/>
      <c r="AN31" s="41"/>
      <c r="AO31" s="41"/>
      <c r="AP31" s="498"/>
      <c r="AQ31" s="39"/>
      <c r="AR31" s="39"/>
      <c r="AS31" s="205"/>
      <c r="AT31" s="205"/>
      <c r="AU31" s="205"/>
      <c r="AV31" s="235"/>
      <c r="AW31" s="41"/>
      <c r="AX31" s="41"/>
      <c r="AY31" s="41"/>
      <c r="AZ31" s="41"/>
      <c r="BA31" s="41"/>
      <c r="BB31" s="237"/>
      <c r="BC31" s="41"/>
      <c r="BD31" s="41"/>
      <c r="BE31" s="210"/>
      <c r="BF31" s="41"/>
      <c r="BG31" s="41"/>
      <c r="BH31" s="224"/>
      <c r="BI31" s="210"/>
      <c r="BJ31" s="210"/>
      <c r="BK31" s="41"/>
      <c r="BL31" s="286"/>
      <c r="BM31" s="286"/>
      <c r="BN31" s="216"/>
      <c r="BO31" s="205"/>
      <c r="BR31" s="205"/>
      <c r="BS31" s="205"/>
      <c r="BT31" s="216"/>
      <c r="BU31" s="205"/>
      <c r="BV31" s="286"/>
      <c r="BW31" s="205"/>
      <c r="BX31" s="205"/>
      <c r="BY31" s="205"/>
      <c r="BZ31" s="235"/>
      <c r="CA31" s="41"/>
      <c r="CB31" s="41"/>
      <c r="CC31" s="205"/>
      <c r="CD31" s="205"/>
      <c r="CE31" s="205"/>
      <c r="CF31" s="216"/>
      <c r="CG31" s="205"/>
      <c r="CH31" s="205"/>
      <c r="CI31" s="39"/>
      <c r="CJ31" s="41"/>
      <c r="CK31" s="41"/>
      <c r="CL31" s="498"/>
      <c r="CM31" s="39"/>
      <c r="CN31" s="39"/>
      <c r="CO31" s="39"/>
      <c r="CP31" s="205"/>
      <c r="CQ31" s="205"/>
      <c r="CR31" s="282"/>
      <c r="CS31" s="205"/>
      <c r="CT31" s="41"/>
      <c r="CU31" s="41"/>
      <c r="CV31" s="41"/>
      <c r="CW31" s="41"/>
      <c r="CX31" s="237"/>
      <c r="CY31" s="41"/>
      <c r="CZ31" s="41"/>
      <c r="DA31" s="39"/>
      <c r="DB31" s="41"/>
      <c r="DC31" s="41"/>
      <c r="DD31" s="224"/>
      <c r="DE31" s="210"/>
      <c r="DF31" s="39"/>
      <c r="DG31" s="39"/>
      <c r="DH31" s="39"/>
      <c r="DI31" s="39"/>
      <c r="DJ31" s="243"/>
      <c r="DK31" s="39"/>
      <c r="DL31" s="39"/>
      <c r="DM31" s="39"/>
      <c r="DN31" s="39"/>
      <c r="DO31" s="39"/>
      <c r="DP31" s="243"/>
      <c r="DQ31" s="39">
        <f>DK31+Commerical!I31</f>
        <v>8254766.074656002</v>
      </c>
      <c r="DR31" s="39">
        <f>DL31+Commerical!J31</f>
        <v>11096602.045154853</v>
      </c>
      <c r="DS31" s="39">
        <f>DM31+Commerical!K31</f>
        <v>12243441.586419567</v>
      </c>
      <c r="DT31" s="39">
        <f>DN31+Commerical!L31</f>
        <v>11744380.48928567</v>
      </c>
      <c r="DU31" s="39">
        <f>DO31+Commerical!M31</f>
        <v>9663290.947655683</v>
      </c>
      <c r="DV31" s="243">
        <f>DP31+Commerical!N31</f>
        <v>6447754.977010725</v>
      </c>
      <c r="DW31" s="138"/>
      <c r="DX31" s="39"/>
      <c r="DY31" s="38"/>
      <c r="DZ31" s="38"/>
      <c r="EA31" s="546"/>
      <c r="EB31" s="38"/>
      <c r="EC31" s="38"/>
      <c r="ED31" s="38"/>
    </row>
    <row r="32" spans="1:134" ht="12.75">
      <c r="A32" s="88" t="s">
        <v>191</v>
      </c>
      <c r="B32" s="29">
        <f>Commerical!B32</f>
        <v>2.8</v>
      </c>
      <c r="C32" s="41"/>
      <c r="E32" s="41"/>
      <c r="F32" s="41"/>
      <c r="G32" s="235"/>
      <c r="H32" s="41"/>
      <c r="J32" s="205"/>
      <c r="K32" s="205"/>
      <c r="L32" s="216"/>
      <c r="M32" s="205"/>
      <c r="N32" s="205"/>
      <c r="O32" s="205"/>
      <c r="P32" s="205"/>
      <c r="Q32" s="205"/>
      <c r="R32" s="271"/>
      <c r="S32" s="205"/>
      <c r="T32" s="205"/>
      <c r="U32" s="205"/>
      <c r="V32" s="205"/>
      <c r="W32" s="205"/>
      <c r="X32" s="216"/>
      <c r="Y32" s="205"/>
      <c r="AB32" s="398"/>
      <c r="AE32" s="622"/>
      <c r="AF32" s="205"/>
      <c r="AG32" s="205"/>
      <c r="AH32" s="205"/>
      <c r="AI32" s="205"/>
      <c r="AJ32" s="216"/>
      <c r="AK32" s="205"/>
      <c r="AL32" s="205"/>
      <c r="AM32" s="205"/>
      <c r="AN32" s="205"/>
      <c r="AO32" s="41"/>
      <c r="AP32" s="498"/>
      <c r="AQ32" s="39"/>
      <c r="AR32" s="39"/>
      <c r="AS32" s="205"/>
      <c r="AT32" s="205"/>
      <c r="AU32" s="205"/>
      <c r="AV32" s="235"/>
      <c r="AW32" s="41"/>
      <c r="AX32" s="41"/>
      <c r="AY32" s="41"/>
      <c r="AZ32" s="41"/>
      <c r="BA32" s="41"/>
      <c r="BB32" s="237"/>
      <c r="BC32" s="41"/>
      <c r="BD32" s="41"/>
      <c r="BE32" s="210"/>
      <c r="BF32" s="41"/>
      <c r="BG32" s="41"/>
      <c r="BH32" s="224"/>
      <c r="BI32" s="210"/>
      <c r="BJ32" s="210"/>
      <c r="BK32" s="41"/>
      <c r="BL32" s="286"/>
      <c r="BM32" s="41"/>
      <c r="BN32" s="216"/>
      <c r="BO32" s="205"/>
      <c r="BR32" s="205"/>
      <c r="BS32" s="205"/>
      <c r="BT32" s="216"/>
      <c r="BU32" s="205"/>
      <c r="BV32" s="286"/>
      <c r="BW32" s="205"/>
      <c r="BX32" s="205"/>
      <c r="BY32" s="205"/>
      <c r="BZ32" s="235"/>
      <c r="CA32" s="41"/>
      <c r="CB32" s="41"/>
      <c r="CC32" s="205"/>
      <c r="CD32" s="205"/>
      <c r="CE32" s="205"/>
      <c r="CF32" s="216"/>
      <c r="CG32" s="205"/>
      <c r="CH32" s="205"/>
      <c r="CI32" s="39"/>
      <c r="CJ32" s="41"/>
      <c r="CK32" s="41"/>
      <c r="CL32" s="498"/>
      <c r="CM32" s="39"/>
      <c r="CN32" s="39"/>
      <c r="CO32" s="39"/>
      <c r="CP32" s="205"/>
      <c r="CQ32" s="205"/>
      <c r="CR32" s="282"/>
      <c r="CS32" s="205"/>
      <c r="CT32" s="41"/>
      <c r="CU32" s="41"/>
      <c r="CV32" s="41"/>
      <c r="CW32" s="41"/>
      <c r="CX32" s="237"/>
      <c r="CY32" s="41"/>
      <c r="CZ32" s="41"/>
      <c r="DA32" s="39"/>
      <c r="DB32" s="41"/>
      <c r="DC32" s="41"/>
      <c r="DD32" s="224"/>
      <c r="DE32" s="210"/>
      <c r="DF32" s="39"/>
      <c r="DG32" s="39"/>
      <c r="DH32" s="39"/>
      <c r="DI32" s="39"/>
      <c r="DJ32" s="243"/>
      <c r="DK32" s="39"/>
      <c r="DL32" s="39"/>
      <c r="DM32" s="39"/>
      <c r="DN32" s="39"/>
      <c r="DO32" s="39"/>
      <c r="DP32" s="243"/>
      <c r="DQ32" s="39">
        <f>DK32+Commerical!I32</f>
        <v>11246428.571428573</v>
      </c>
      <c r="DR32" s="39">
        <f>DL32+Commerical!J32</f>
        <v>17133214.285714287</v>
      </c>
      <c r="DS32" s="39">
        <f>DM32+Commerical!K32</f>
        <v>16468571.42857143</v>
      </c>
      <c r="DT32" s="39">
        <f>DN32+Commerical!L32</f>
        <v>19899642.85714286</v>
      </c>
      <c r="DU32" s="39">
        <f>DO32+Commerical!M32</f>
        <v>12757500</v>
      </c>
      <c r="DV32" s="243">
        <f>DP32+Commerical!N32</f>
        <v>12930357.142857144</v>
      </c>
      <c r="DW32" s="138"/>
      <c r="DX32" s="39"/>
      <c r="DY32" s="38"/>
      <c r="DZ32" s="38"/>
      <c r="EA32" s="546"/>
      <c r="EB32" s="38"/>
      <c r="EC32" s="38"/>
      <c r="ED32" s="38"/>
    </row>
    <row r="33" spans="1:134" ht="12.75">
      <c r="A33" s="88" t="s">
        <v>192</v>
      </c>
      <c r="B33" s="29">
        <f>Commerical!B33</f>
        <v>1.433004703</v>
      </c>
      <c r="C33" s="41"/>
      <c r="E33" s="41"/>
      <c r="F33" s="41"/>
      <c r="G33" s="235"/>
      <c r="H33" s="41"/>
      <c r="J33" s="205"/>
      <c r="K33" s="205"/>
      <c r="L33" s="216"/>
      <c r="M33" s="205"/>
      <c r="O33" s="205"/>
      <c r="P33" s="205"/>
      <c r="Q33" s="205"/>
      <c r="R33" s="271"/>
      <c r="S33" s="205"/>
      <c r="T33" s="205"/>
      <c r="U33" s="205"/>
      <c r="V33" s="205"/>
      <c r="W33" s="205"/>
      <c r="X33" s="216"/>
      <c r="Y33" s="205"/>
      <c r="AB33" s="398"/>
      <c r="AE33" s="622"/>
      <c r="AF33" s="205"/>
      <c r="AG33" s="205"/>
      <c r="AH33" s="205"/>
      <c r="AI33" s="286"/>
      <c r="AJ33" s="618"/>
      <c r="AL33" s="205"/>
      <c r="AM33" s="286"/>
      <c r="AN33" s="205"/>
      <c r="AO33" s="41"/>
      <c r="AP33" s="498"/>
      <c r="AQ33" s="39"/>
      <c r="AR33" s="39"/>
      <c r="AS33" s="205"/>
      <c r="AT33" s="205"/>
      <c r="AU33" s="205"/>
      <c r="AV33" s="235"/>
      <c r="AW33" s="41"/>
      <c r="AX33" s="41"/>
      <c r="AY33" s="41"/>
      <c r="AZ33" s="41"/>
      <c r="BA33" s="41"/>
      <c r="BB33" s="237"/>
      <c r="BC33" s="41"/>
      <c r="BD33" s="41"/>
      <c r="BE33" s="210"/>
      <c r="BF33" s="41"/>
      <c r="BG33" s="41"/>
      <c r="BH33" s="224"/>
      <c r="BI33" s="210"/>
      <c r="BJ33" s="210"/>
      <c r="BK33" s="41"/>
      <c r="BL33" s="286"/>
      <c r="BM33" s="41"/>
      <c r="BN33" s="216"/>
      <c r="BO33" s="205"/>
      <c r="BR33" s="205"/>
      <c r="BS33" s="205"/>
      <c r="BT33" s="216"/>
      <c r="BU33" s="205"/>
      <c r="BV33" s="286"/>
      <c r="BW33" s="205"/>
      <c r="BX33" s="205"/>
      <c r="BY33" s="205"/>
      <c r="BZ33" s="235"/>
      <c r="CA33" s="41"/>
      <c r="CB33" s="41"/>
      <c r="CC33" s="205"/>
      <c r="CD33" s="205"/>
      <c r="CE33" s="205"/>
      <c r="CF33" s="216"/>
      <c r="CG33" s="205"/>
      <c r="CH33" s="205"/>
      <c r="CI33" s="39"/>
      <c r="CJ33" s="41"/>
      <c r="CK33" s="41"/>
      <c r="CL33" s="498"/>
      <c r="CM33" s="39"/>
      <c r="CN33" s="39"/>
      <c r="CO33" s="39"/>
      <c r="CP33" s="205"/>
      <c r="CQ33" s="205"/>
      <c r="CR33" s="282"/>
      <c r="CS33" s="205"/>
      <c r="CT33" s="41"/>
      <c r="CU33" s="41"/>
      <c r="CV33" s="41"/>
      <c r="CW33" s="41"/>
      <c r="CX33" s="237"/>
      <c r="CY33" s="41"/>
      <c r="CZ33" s="41"/>
      <c r="DA33" s="39"/>
      <c r="DB33" s="41"/>
      <c r="DC33" s="41"/>
      <c r="DD33" s="224"/>
      <c r="DE33" s="210"/>
      <c r="DF33" s="39"/>
      <c r="DG33" s="39"/>
      <c r="DH33" s="39"/>
      <c r="DI33" s="39"/>
      <c r="DJ33" s="243"/>
      <c r="DK33" s="39"/>
      <c r="DL33" s="39"/>
      <c r="DM33" s="39"/>
      <c r="DN33" s="39"/>
      <c r="DO33" s="39"/>
      <c r="DP33" s="243"/>
      <c r="DQ33" s="39">
        <f>DK33+Commerical!I33</f>
        <v>1339144.2442460707</v>
      </c>
      <c r="DR33" s="39">
        <f>DL33+Commerical!J33</f>
        <v>1168174.8123334667</v>
      </c>
      <c r="DS33" s="39">
        <f>DM33+Commerical!K33</f>
        <v>1458473.9293769088</v>
      </c>
      <c r="DT33" s="39">
        <f>DN33+Commerical!L33</f>
        <v>1538027.0527974674</v>
      </c>
      <c r="DU33" s="39">
        <f>DO33+Commerical!M33</f>
        <v>1654565.4002644261</v>
      </c>
      <c r="DV33" s="243">
        <f>DP33+Commerical!N33</f>
        <v>2866703.780803991</v>
      </c>
      <c r="DW33" s="138"/>
      <c r="DX33" s="39"/>
      <c r="DY33" s="38"/>
      <c r="DZ33" s="38"/>
      <c r="EA33" s="546"/>
      <c r="EB33" s="38"/>
      <c r="EC33" s="38"/>
      <c r="ED33" s="38"/>
    </row>
    <row r="34" spans="1:134" ht="12.75">
      <c r="A34" s="88" t="s">
        <v>193</v>
      </c>
      <c r="B34" s="29">
        <f>Commerical!B34</f>
        <v>4.453044510660879</v>
      </c>
      <c r="C34" s="41"/>
      <c r="E34" s="41"/>
      <c r="F34" s="41"/>
      <c r="G34" s="235"/>
      <c r="H34" s="41"/>
      <c r="J34" s="205"/>
      <c r="K34" s="205"/>
      <c r="L34" s="216"/>
      <c r="M34" s="205"/>
      <c r="N34" s="205"/>
      <c r="O34" s="205"/>
      <c r="P34" s="205"/>
      <c r="Q34" s="205"/>
      <c r="R34" s="271"/>
      <c r="S34" s="205"/>
      <c r="T34" s="205"/>
      <c r="U34" s="205"/>
      <c r="V34" s="205"/>
      <c r="W34" s="205"/>
      <c r="X34" s="216"/>
      <c r="Y34" s="205"/>
      <c r="AB34" s="398"/>
      <c r="AE34" s="622"/>
      <c r="AF34" s="205"/>
      <c r="AG34" s="205"/>
      <c r="AH34" s="205"/>
      <c r="AI34" s="286"/>
      <c r="AJ34" s="618"/>
      <c r="AL34" s="205"/>
      <c r="AM34" s="286"/>
      <c r="AN34" s="205"/>
      <c r="AO34" s="41"/>
      <c r="AP34" s="498"/>
      <c r="AQ34" s="39"/>
      <c r="AR34" s="39"/>
      <c r="AS34" s="205"/>
      <c r="AT34" s="205"/>
      <c r="AU34" s="205"/>
      <c r="AV34" s="235"/>
      <c r="AW34" s="41"/>
      <c r="AX34" s="41"/>
      <c r="AY34" s="41"/>
      <c r="AZ34" s="41"/>
      <c r="BA34" s="41"/>
      <c r="BB34" s="237"/>
      <c r="BC34" s="41"/>
      <c r="BD34" s="41"/>
      <c r="BE34" s="210"/>
      <c r="BF34" s="41"/>
      <c r="BG34" s="41"/>
      <c r="BH34" s="224"/>
      <c r="BI34" s="210"/>
      <c r="BJ34" s="210"/>
      <c r="BK34" s="41"/>
      <c r="BL34" s="286"/>
      <c r="BM34" s="41"/>
      <c r="BN34" s="216"/>
      <c r="BO34" s="205"/>
      <c r="BR34" s="205"/>
      <c r="BS34" s="205"/>
      <c r="BT34" s="216"/>
      <c r="BU34" s="205"/>
      <c r="BV34" s="286"/>
      <c r="BW34" s="205"/>
      <c r="BX34" s="205"/>
      <c r="BY34" s="205"/>
      <c r="BZ34" s="235"/>
      <c r="CA34" s="41"/>
      <c r="CB34" s="41"/>
      <c r="CC34" s="205"/>
      <c r="CD34" s="205"/>
      <c r="CE34" s="205"/>
      <c r="CF34" s="216"/>
      <c r="CG34" s="205"/>
      <c r="CH34" s="205"/>
      <c r="CI34" s="39"/>
      <c r="CJ34" s="41"/>
      <c r="CK34" s="41"/>
      <c r="CL34" s="498"/>
      <c r="CM34" s="39"/>
      <c r="CN34" s="39"/>
      <c r="CO34" s="39"/>
      <c r="CP34" s="205"/>
      <c r="CQ34" s="205"/>
      <c r="CR34" s="282"/>
      <c r="CS34" s="205"/>
      <c r="CT34" s="41"/>
      <c r="CU34" s="41"/>
      <c r="CV34" s="41"/>
      <c r="CW34" s="41"/>
      <c r="CX34" s="237"/>
      <c r="CY34" s="41"/>
      <c r="CZ34" s="41"/>
      <c r="DA34" s="39"/>
      <c r="DB34" s="41"/>
      <c r="DC34" s="41"/>
      <c r="DD34" s="224"/>
      <c r="DE34" s="210"/>
      <c r="DF34" s="39"/>
      <c r="DG34" s="39"/>
      <c r="DH34" s="39"/>
      <c r="DI34" s="39"/>
      <c r="DJ34" s="243"/>
      <c r="DK34" s="39"/>
      <c r="DL34" s="39"/>
      <c r="DM34" s="39"/>
      <c r="DN34" s="39"/>
      <c r="DO34" s="39"/>
      <c r="DP34" s="243"/>
      <c r="DQ34" s="39">
        <f>DK34+Commerical!I34</f>
        <v>457439.8470806409</v>
      </c>
      <c r="DR34" s="39">
        <f>DL34+Commerical!J34</f>
        <v>396582.6067473794</v>
      </c>
      <c r="DS34" s="39">
        <f>DM34+Commerical!K34</f>
        <v>871538.5599018004</v>
      </c>
      <c r="DT34" s="39">
        <f>DN34+Commerical!L34</f>
        <v>1092735.5404488947</v>
      </c>
      <c r="DU34" s="39">
        <f>DO34+Commerical!M34</f>
        <v>1109577.9501352217</v>
      </c>
      <c r="DV34" s="243">
        <f>DP34+Commerical!N34</f>
        <v>1291026.8438225845</v>
      </c>
      <c r="DW34" s="138"/>
      <c r="DX34" s="39"/>
      <c r="DY34" s="38"/>
      <c r="DZ34" s="38"/>
      <c r="EA34" s="546"/>
      <c r="EB34" s="38"/>
      <c r="EC34" s="38"/>
      <c r="ED34" s="38"/>
    </row>
    <row r="35" spans="1:134" ht="13.5">
      <c r="A35" s="88" t="s">
        <v>194</v>
      </c>
      <c r="B35" s="29">
        <f>Commerical!B35</f>
        <v>2.637125</v>
      </c>
      <c r="C35" s="41">
        <v>21</v>
      </c>
      <c r="D35" s="397">
        <v>7</v>
      </c>
      <c r="E35" s="398">
        <v>25</v>
      </c>
      <c r="F35" s="398">
        <v>34</v>
      </c>
      <c r="G35" s="494">
        <v>62</v>
      </c>
      <c r="H35" s="401"/>
      <c r="J35" s="205"/>
      <c r="K35" s="205"/>
      <c r="L35" s="216"/>
      <c r="M35" s="205"/>
      <c r="N35" s="205"/>
      <c r="O35" s="205"/>
      <c r="P35" s="205"/>
      <c r="Q35" s="205"/>
      <c r="R35" s="271">
        <v>4</v>
      </c>
      <c r="S35" s="205"/>
      <c r="T35" s="205"/>
      <c r="U35" s="205"/>
      <c r="V35" s="205"/>
      <c r="W35" s="205"/>
      <c r="X35" s="216"/>
      <c r="Y35" s="205"/>
      <c r="AB35" s="402"/>
      <c r="AC35" s="395"/>
      <c r="AD35" s="396"/>
      <c r="AE35" s="625"/>
      <c r="AF35" s="205"/>
      <c r="AG35" s="205"/>
      <c r="AH35" s="205"/>
      <c r="AI35" s="286"/>
      <c r="AJ35" s="618"/>
      <c r="AL35" s="205"/>
      <c r="AM35" s="286"/>
      <c r="AN35" s="205"/>
      <c r="AO35" s="41"/>
      <c r="AP35" s="498"/>
      <c r="AQ35" s="39"/>
      <c r="AR35" s="39"/>
      <c r="AS35" s="205"/>
      <c r="AT35" s="205"/>
      <c r="AU35" s="205"/>
      <c r="AV35" s="235"/>
      <c r="AW35" s="41">
        <f t="shared" si="0"/>
        <v>21</v>
      </c>
      <c r="AX35" s="41">
        <f t="shared" si="0"/>
        <v>7</v>
      </c>
      <c r="AY35" s="41">
        <f t="shared" si="1"/>
        <v>25</v>
      </c>
      <c r="AZ35" s="41">
        <f aca="true" t="shared" si="31" ref="AZ35:BA37">(F35+K35+P35+V35+AB35+(AH35/0.212)+(AN35/0.55)+(AT35/0.635))</f>
        <v>34</v>
      </c>
      <c r="BA35" s="41">
        <f t="shared" si="31"/>
        <v>62</v>
      </c>
      <c r="BB35" s="237">
        <f>(R35+X35+AD35+(AJ35/0.212)+(AP35/0.55)+(AV35/0.635))</f>
        <v>4</v>
      </c>
      <c r="BC35" s="41">
        <f aca="true" t="shared" si="32" ref="BC35:BD37">AW35*1000/0.45359237/$B35</f>
        <v>17555.889485263036</v>
      </c>
      <c r="BD35" s="41">
        <f t="shared" si="32"/>
        <v>5851.9631617543455</v>
      </c>
      <c r="BE35" s="41">
        <f aca="true" t="shared" si="33" ref="BE35:BH37">AY35*1000/0.45359237/$B35</f>
        <v>20899.86843483695</v>
      </c>
      <c r="BF35" s="41">
        <f t="shared" si="33"/>
        <v>28423.82107137825</v>
      </c>
      <c r="BG35" s="41">
        <f t="shared" si="33"/>
        <v>51831.67371839563</v>
      </c>
      <c r="BH35" s="237">
        <f t="shared" si="33"/>
        <v>3343.9789495739124</v>
      </c>
      <c r="BI35" s="41">
        <v>17650</v>
      </c>
      <c r="BJ35" s="41">
        <v>20068</v>
      </c>
      <c r="BK35" s="41">
        <v>16500</v>
      </c>
      <c r="BL35" s="401">
        <v>14653</v>
      </c>
      <c r="BM35" s="401">
        <v>11510</v>
      </c>
      <c r="BN35" s="216">
        <v>14317</v>
      </c>
      <c r="BO35" s="205"/>
      <c r="BR35" s="205"/>
      <c r="BS35" s="205"/>
      <c r="BT35" s="216"/>
      <c r="BU35" s="205"/>
      <c r="BV35" s="205"/>
      <c r="BW35" s="205"/>
      <c r="BX35" s="205"/>
      <c r="BY35" s="205"/>
      <c r="BZ35" s="235"/>
      <c r="CA35" s="41"/>
      <c r="CB35" s="41"/>
      <c r="CC35" s="205"/>
      <c r="CD35" s="205"/>
      <c r="CE35" s="205"/>
      <c r="CF35" s="216"/>
      <c r="CG35" s="205"/>
      <c r="CH35" s="205"/>
      <c r="CI35" s="39"/>
      <c r="CJ35" s="41"/>
      <c r="CK35" s="41"/>
      <c r="CL35" s="498"/>
      <c r="CM35" s="39"/>
      <c r="CN35" s="39"/>
      <c r="CO35" s="39"/>
      <c r="CP35" s="205"/>
      <c r="CQ35" s="205"/>
      <c r="CR35" s="282"/>
      <c r="CS35" s="41">
        <f aca="true" t="shared" si="34" ref="CS35:CX37">(BI35+BO35+BU35+(CA35/0.212)+(CG35/0.55)+(CM35/0.635))</f>
        <v>17650</v>
      </c>
      <c r="CT35" s="41">
        <f t="shared" si="34"/>
        <v>20068</v>
      </c>
      <c r="CU35" s="41">
        <f t="shared" si="34"/>
        <v>16500</v>
      </c>
      <c r="CV35" s="41">
        <f t="shared" si="34"/>
        <v>14653</v>
      </c>
      <c r="CW35" s="41">
        <f t="shared" si="34"/>
        <v>11510</v>
      </c>
      <c r="CX35" s="237">
        <f t="shared" si="34"/>
        <v>14317</v>
      </c>
      <c r="CY35" s="41">
        <f aca="true" t="shared" si="35" ref="CY35:CZ37">CS35*1000/0.45359237/$B35</f>
        <v>14755307.114994885</v>
      </c>
      <c r="CZ35" s="41">
        <f t="shared" si="35"/>
        <v>16776742.390012316</v>
      </c>
      <c r="DA35" s="41">
        <f aca="true" t="shared" si="36" ref="DA35:DD37">CU35*1000/0.45359237/$B35</f>
        <v>13793913.166992385</v>
      </c>
      <c r="DB35" s="41">
        <f t="shared" si="36"/>
        <v>12249830.887026632</v>
      </c>
      <c r="DC35" s="41">
        <f t="shared" si="36"/>
        <v>9622299.427398931</v>
      </c>
      <c r="DD35" s="237">
        <f t="shared" si="36"/>
        <v>11968936.655262424</v>
      </c>
      <c r="DE35" s="39">
        <f aca="true" t="shared" si="37" ref="DE35:DP37">AW35-CS35</f>
        <v>-17629</v>
      </c>
      <c r="DF35" s="39">
        <f t="shared" si="37"/>
        <v>-20061</v>
      </c>
      <c r="DG35" s="39">
        <f t="shared" si="37"/>
        <v>-16475</v>
      </c>
      <c r="DH35" s="39">
        <f t="shared" si="37"/>
        <v>-14619</v>
      </c>
      <c r="DI35" s="39">
        <f t="shared" si="37"/>
        <v>-11448</v>
      </c>
      <c r="DJ35" s="243">
        <f t="shared" si="37"/>
        <v>-14313</v>
      </c>
      <c r="DK35" s="39">
        <f t="shared" si="37"/>
        <v>-14737751.225509623</v>
      </c>
      <c r="DL35" s="39">
        <f t="shared" si="37"/>
        <v>-16770890.426850563</v>
      </c>
      <c r="DM35" s="39">
        <f t="shared" si="37"/>
        <v>-13773013.298557548</v>
      </c>
      <c r="DN35" s="39">
        <f t="shared" si="37"/>
        <v>-12221407.065955253</v>
      </c>
      <c r="DO35" s="39">
        <f t="shared" si="37"/>
        <v>-9570467.753680537</v>
      </c>
      <c r="DP35" s="243">
        <f t="shared" si="37"/>
        <v>-11965592.676312849</v>
      </c>
      <c r="DQ35" s="39">
        <f>DK35+Commerical!I35</f>
        <v>34730893.605509005</v>
      </c>
      <c r="DR35" s="39">
        <f>DL35+Commerical!J35</f>
        <v>27893279.83432401</v>
      </c>
      <c r="DS35" s="39">
        <f>DM35+Commerical!K35</f>
        <v>28060422.73500172</v>
      </c>
      <c r="DT35" s="39">
        <f>DN35+Commerical!L35</f>
        <v>32068491.971822627</v>
      </c>
      <c r="DU35" s="39">
        <f>DO35+Commerical!M35</f>
        <v>19155512.243475452</v>
      </c>
      <c r="DV35" s="243">
        <f>DP35+Commerical!N35</f>
        <v>16664070.308945715</v>
      </c>
      <c r="DW35" s="138"/>
      <c r="DX35" s="39"/>
      <c r="DY35" s="38"/>
      <c r="DZ35" s="38"/>
      <c r="EA35" s="546"/>
      <c r="EB35" s="38"/>
      <c r="EC35" s="38"/>
      <c r="ED35" s="38"/>
    </row>
    <row r="36" spans="1:134" ht="12.75">
      <c r="A36" s="88" t="s">
        <v>195</v>
      </c>
      <c r="B36" s="29">
        <f>Commerical!B36</f>
        <v>1.849837262</v>
      </c>
      <c r="C36" s="41"/>
      <c r="D36" s="397">
        <v>0</v>
      </c>
      <c r="E36" s="398">
        <v>4</v>
      </c>
      <c r="F36" s="398">
        <v>65</v>
      </c>
      <c r="G36" s="494">
        <v>21</v>
      </c>
      <c r="H36" s="401"/>
      <c r="I36" s="205"/>
      <c r="J36" s="205"/>
      <c r="K36" s="205"/>
      <c r="L36" s="216"/>
      <c r="M36" s="205"/>
      <c r="N36" s="205"/>
      <c r="O36" s="205"/>
      <c r="P36" s="205"/>
      <c r="Q36" s="205"/>
      <c r="R36" s="271">
        <v>0</v>
      </c>
      <c r="S36" s="205"/>
      <c r="T36" s="205"/>
      <c r="U36" s="205"/>
      <c r="V36" s="205"/>
      <c r="W36" s="205"/>
      <c r="X36" s="216"/>
      <c r="Y36" s="205"/>
      <c r="AB36" s="398"/>
      <c r="AE36" s="622"/>
      <c r="AF36" s="205"/>
      <c r="AG36" s="205"/>
      <c r="AH36" s="205"/>
      <c r="AI36" s="286"/>
      <c r="AJ36" s="618"/>
      <c r="AL36" s="205"/>
      <c r="AM36" s="286"/>
      <c r="AN36" s="205"/>
      <c r="AO36" s="41"/>
      <c r="AP36" s="498"/>
      <c r="AQ36" s="39"/>
      <c r="AR36" s="39"/>
      <c r="AS36" s="205"/>
      <c r="AT36" s="205"/>
      <c r="AU36" s="205"/>
      <c r="AV36" s="235"/>
      <c r="AW36" s="41">
        <f t="shared" si="0"/>
        <v>0</v>
      </c>
      <c r="AX36" s="41">
        <f t="shared" si="0"/>
        <v>0</v>
      </c>
      <c r="AY36" s="41">
        <f t="shared" si="1"/>
        <v>4</v>
      </c>
      <c r="AZ36" s="41">
        <f t="shared" si="31"/>
        <v>65</v>
      </c>
      <c r="BA36" s="41">
        <f t="shared" si="31"/>
        <v>21</v>
      </c>
      <c r="BB36" s="237">
        <f>(R36+X36+AD36+(AJ36/0.212)+(AP36/0.55)+(AV36/0.635))</f>
        <v>0</v>
      </c>
      <c r="BC36" s="41">
        <f t="shared" si="32"/>
        <v>0</v>
      </c>
      <c r="BD36" s="41">
        <f t="shared" si="32"/>
        <v>0</v>
      </c>
      <c r="BE36" s="41">
        <f t="shared" si="33"/>
        <v>4767.170966088531</v>
      </c>
      <c r="BF36" s="41">
        <f t="shared" si="33"/>
        <v>77466.52819893863</v>
      </c>
      <c r="BG36" s="41">
        <f t="shared" si="33"/>
        <v>25027.647571964786</v>
      </c>
      <c r="BH36" s="237">
        <f t="shared" si="33"/>
        <v>0</v>
      </c>
      <c r="BI36" s="41">
        <v>33559</v>
      </c>
      <c r="BJ36" s="41">
        <v>41132</v>
      </c>
      <c r="BK36" s="41">
        <v>48385</v>
      </c>
      <c r="BL36" s="401">
        <v>54625</v>
      </c>
      <c r="BM36" s="401">
        <v>62667</v>
      </c>
      <c r="BN36" s="216">
        <v>51782</v>
      </c>
      <c r="BO36" s="205"/>
      <c r="BR36" s="205"/>
      <c r="BS36" s="205"/>
      <c r="BT36" s="216"/>
      <c r="BU36" s="205"/>
      <c r="BV36" s="205"/>
      <c r="BW36" s="205"/>
      <c r="BX36" s="205"/>
      <c r="BY36" s="205"/>
      <c r="BZ36" s="235"/>
      <c r="CA36" s="41"/>
      <c r="CB36" s="41"/>
      <c r="CC36" s="205"/>
      <c r="CD36" s="205"/>
      <c r="CE36" s="205"/>
      <c r="CF36" s="216"/>
      <c r="CG36" s="205"/>
      <c r="CH36" s="205"/>
      <c r="CI36" s="39"/>
      <c r="CJ36" s="41"/>
      <c r="CK36" s="41"/>
      <c r="CL36" s="498"/>
      <c r="CM36" s="39"/>
      <c r="CN36" s="39"/>
      <c r="CO36" s="39"/>
      <c r="CP36" s="205"/>
      <c r="CQ36" s="205"/>
      <c r="CR36" s="282"/>
      <c r="CS36" s="41">
        <f t="shared" si="34"/>
        <v>33559</v>
      </c>
      <c r="CT36" s="41">
        <f t="shared" si="34"/>
        <v>41132</v>
      </c>
      <c r="CU36" s="41">
        <f t="shared" si="34"/>
        <v>48385</v>
      </c>
      <c r="CV36" s="41">
        <f t="shared" si="34"/>
        <v>54625</v>
      </c>
      <c r="CW36" s="41">
        <f t="shared" si="34"/>
        <v>62667</v>
      </c>
      <c r="CX36" s="237">
        <f t="shared" si="34"/>
        <v>51782</v>
      </c>
      <c r="CY36" s="41">
        <f t="shared" si="35"/>
        <v>39995372.61274125</v>
      </c>
      <c r="CZ36" s="41">
        <f t="shared" si="35"/>
        <v>49020819.04428836</v>
      </c>
      <c r="DA36" s="41">
        <f t="shared" si="36"/>
        <v>57664891.79854839</v>
      </c>
      <c r="DB36" s="41">
        <f t="shared" si="36"/>
        <v>65101678.5056465</v>
      </c>
      <c r="DC36" s="41">
        <f t="shared" si="36"/>
        <v>74686075.7329675</v>
      </c>
      <c r="DD36" s="237">
        <f t="shared" si="36"/>
        <v>61713411.741499074</v>
      </c>
      <c r="DE36" s="39">
        <f t="shared" si="37"/>
        <v>-33559</v>
      </c>
      <c r="DF36" s="39">
        <f t="shared" si="37"/>
        <v>-41132</v>
      </c>
      <c r="DG36" s="39">
        <f t="shared" si="37"/>
        <v>-48381</v>
      </c>
      <c r="DH36" s="39">
        <f t="shared" si="37"/>
        <v>-54560</v>
      </c>
      <c r="DI36" s="39">
        <f t="shared" si="37"/>
        <v>-62646</v>
      </c>
      <c r="DJ36" s="243">
        <f t="shared" si="37"/>
        <v>-51782</v>
      </c>
      <c r="DK36" s="39">
        <f t="shared" si="37"/>
        <v>-39995372.61274125</v>
      </c>
      <c r="DL36" s="39">
        <f t="shared" si="37"/>
        <v>-49020819.04428836</v>
      </c>
      <c r="DM36" s="39">
        <f t="shared" si="37"/>
        <v>-57660124.627582304</v>
      </c>
      <c r="DN36" s="39">
        <f t="shared" si="37"/>
        <v>-65024211.97744756</v>
      </c>
      <c r="DO36" s="39">
        <f t="shared" si="37"/>
        <v>-74661048.08539553</v>
      </c>
      <c r="DP36" s="243">
        <f t="shared" si="37"/>
        <v>-61713411.741499074</v>
      </c>
      <c r="DQ36" s="39">
        <f>DK36+Commerical!I36</f>
        <v>134500517.71817803</v>
      </c>
      <c r="DR36" s="39">
        <f>DL36+Commerical!J36</f>
        <v>85943485.72383559</v>
      </c>
      <c r="DS36" s="39">
        <f>DM36+Commerical!K36</f>
        <v>62285021.12005482</v>
      </c>
      <c r="DT36" s="39">
        <f>DN36+Commerical!L36</f>
        <v>103299243.49417219</v>
      </c>
      <c r="DU36" s="39">
        <f>DO36+Commerical!M36</f>
        <v>55344982.6829478</v>
      </c>
      <c r="DV36" s="243">
        <f>DP36+Commerical!N36</f>
        <v>46227434.78686976</v>
      </c>
      <c r="DW36" s="138"/>
      <c r="DX36" s="39"/>
      <c r="DY36" s="38"/>
      <c r="DZ36" s="38"/>
      <c r="EA36" s="546"/>
      <c r="EB36" s="38"/>
      <c r="EC36" s="38"/>
      <c r="ED36" s="38"/>
    </row>
    <row r="37" spans="1:134" ht="12.75">
      <c r="A37" s="88" t="s">
        <v>721</v>
      </c>
      <c r="B37" s="29">
        <f>SUM(Commerical!C31:H36)*1000/SUM(Commerical!I31:N36)</f>
        <v>2.089784093663341</v>
      </c>
      <c r="C37" s="41">
        <v>970</v>
      </c>
      <c r="D37" s="397">
        <v>1358</v>
      </c>
      <c r="E37" s="397">
        <v>1182</v>
      </c>
      <c r="F37" s="397">
        <v>2772</v>
      </c>
      <c r="G37" s="494"/>
      <c r="H37" s="401">
        <v>1404</v>
      </c>
      <c r="I37" s="205">
        <v>1198</v>
      </c>
      <c r="J37" s="401">
        <v>777</v>
      </c>
      <c r="K37" s="401">
        <v>1002</v>
      </c>
      <c r="L37" s="494">
        <v>979</v>
      </c>
      <c r="M37" s="401">
        <v>815</v>
      </c>
      <c r="N37" s="205">
        <v>815</v>
      </c>
      <c r="O37" s="400">
        <v>59</v>
      </c>
      <c r="P37" s="400">
        <v>82</v>
      </c>
      <c r="Q37" s="398">
        <v>188</v>
      </c>
      <c r="R37" s="271">
        <f>1142+41</f>
        <v>1183</v>
      </c>
      <c r="S37" s="205">
        <v>8612</v>
      </c>
      <c r="T37" s="205">
        <v>8947</v>
      </c>
      <c r="U37" s="205">
        <v>8752</v>
      </c>
      <c r="V37" s="397">
        <v>12286</v>
      </c>
      <c r="W37" s="397">
        <v>12255</v>
      </c>
      <c r="X37" s="216">
        <v>13931</v>
      </c>
      <c r="Y37" s="205"/>
      <c r="AB37" s="398"/>
      <c r="AE37" s="622"/>
      <c r="AF37" s="205"/>
      <c r="AG37" s="205"/>
      <c r="AH37" s="205"/>
      <c r="AI37" s="286"/>
      <c r="AJ37" s="618"/>
      <c r="AL37" s="205"/>
      <c r="AM37" s="286"/>
      <c r="AN37" s="205"/>
      <c r="AO37" s="41"/>
      <c r="AP37" s="498"/>
      <c r="AQ37" s="39"/>
      <c r="AR37" s="39"/>
      <c r="AS37" s="205"/>
      <c r="AT37" s="205"/>
      <c r="AU37" s="205"/>
      <c r="AV37" s="235"/>
      <c r="AW37" s="41">
        <f t="shared" si="0"/>
        <v>11801</v>
      </c>
      <c r="AX37" s="41">
        <f t="shared" si="0"/>
        <v>12318</v>
      </c>
      <c r="AY37" s="41">
        <f t="shared" si="1"/>
        <v>10770</v>
      </c>
      <c r="AZ37" s="41">
        <f t="shared" si="31"/>
        <v>16142</v>
      </c>
      <c r="BA37" s="41">
        <f t="shared" si="31"/>
        <v>13422</v>
      </c>
      <c r="BB37" s="237">
        <f>(R37+X37+AD37+(AJ37/0.212)+(AP37/0.55)+(AV37/0.635))</f>
        <v>15114</v>
      </c>
      <c r="BC37" s="41">
        <f t="shared" si="32"/>
        <v>12449492.57644634</v>
      </c>
      <c r="BD37" s="41">
        <f t="shared" si="32"/>
        <v>12994902.936756715</v>
      </c>
      <c r="BE37" s="41">
        <f t="shared" si="33"/>
        <v>11361836.712848661</v>
      </c>
      <c r="BF37" s="41">
        <f t="shared" si="33"/>
        <v>17029040.68883966</v>
      </c>
      <c r="BG37" s="41">
        <f t="shared" si="33"/>
        <v>14159570.32124928</v>
      </c>
      <c r="BH37" s="237">
        <f t="shared" si="33"/>
        <v>15944549.682265058</v>
      </c>
      <c r="BI37" s="41">
        <v>2583</v>
      </c>
      <c r="BJ37" s="41">
        <v>15236</v>
      </c>
      <c r="BK37" s="41">
        <v>6376</v>
      </c>
      <c r="BL37" s="401">
        <v>6336</v>
      </c>
      <c r="BM37" s="401">
        <v>3052</v>
      </c>
      <c r="BN37" s="216"/>
      <c r="BO37" s="205"/>
      <c r="BR37" s="205"/>
      <c r="BS37" s="205"/>
      <c r="BT37" s="216"/>
      <c r="BU37" s="205"/>
      <c r="BV37" s="205"/>
      <c r="BW37" s="205"/>
      <c r="BX37" s="205"/>
      <c r="BY37" s="205"/>
      <c r="BZ37" s="235"/>
      <c r="CA37" s="41"/>
      <c r="CB37" s="41"/>
      <c r="CC37" s="205"/>
      <c r="CD37" s="205"/>
      <c r="CE37" s="205"/>
      <c r="CF37" s="216"/>
      <c r="CG37" s="205"/>
      <c r="CH37" s="205"/>
      <c r="CI37" s="39"/>
      <c r="CJ37" s="41"/>
      <c r="CK37" s="41"/>
      <c r="CL37" s="498"/>
      <c r="CM37" s="39"/>
      <c r="CN37" s="39"/>
      <c r="CO37" s="39"/>
      <c r="CP37" s="205"/>
      <c r="CQ37" s="205"/>
      <c r="CR37" s="282"/>
      <c r="CS37" s="41">
        <f t="shared" si="34"/>
        <v>2583</v>
      </c>
      <c r="CT37" s="41">
        <f t="shared" si="34"/>
        <v>15236</v>
      </c>
      <c r="CU37" s="41">
        <f t="shared" si="34"/>
        <v>6376</v>
      </c>
      <c r="CV37" s="41">
        <f t="shared" si="34"/>
        <v>6336</v>
      </c>
      <c r="CW37" s="41">
        <f t="shared" si="34"/>
        <v>3052</v>
      </c>
      <c r="CX37" s="237">
        <f t="shared" si="34"/>
        <v>0</v>
      </c>
      <c r="CY37" s="41">
        <f t="shared" si="35"/>
        <v>2724941.8968698326</v>
      </c>
      <c r="CZ37" s="41">
        <f t="shared" si="35"/>
        <v>16073253.867870215</v>
      </c>
      <c r="DA37" s="41">
        <f t="shared" si="36"/>
        <v>6726376.126380973</v>
      </c>
      <c r="DB37" s="41">
        <f t="shared" si="36"/>
        <v>6684178.032739937</v>
      </c>
      <c r="DC37" s="41">
        <f t="shared" si="36"/>
        <v>3219714.544810967</v>
      </c>
      <c r="DD37" s="237">
        <f t="shared" si="36"/>
        <v>0</v>
      </c>
      <c r="DE37" s="39">
        <f t="shared" si="37"/>
        <v>9218</v>
      </c>
      <c r="DF37" s="39">
        <f t="shared" si="37"/>
        <v>-2918</v>
      </c>
      <c r="DG37" s="39">
        <f t="shared" si="37"/>
        <v>4394</v>
      </c>
      <c r="DH37" s="39">
        <f t="shared" si="37"/>
        <v>9806</v>
      </c>
      <c r="DI37" s="39">
        <f t="shared" si="37"/>
        <v>10370</v>
      </c>
      <c r="DJ37" s="243">
        <f t="shared" si="37"/>
        <v>15114</v>
      </c>
      <c r="DK37" s="39">
        <f t="shared" si="37"/>
        <v>9724550.679576507</v>
      </c>
      <c r="DL37" s="39">
        <f t="shared" si="37"/>
        <v>-3078350.9311135</v>
      </c>
      <c r="DM37" s="39">
        <f t="shared" si="37"/>
        <v>4635460.586467689</v>
      </c>
      <c r="DN37" s="39">
        <f t="shared" si="37"/>
        <v>10344862.656099722</v>
      </c>
      <c r="DO37" s="39">
        <f t="shared" si="37"/>
        <v>10939855.776438313</v>
      </c>
      <c r="DP37" s="243">
        <f t="shared" si="37"/>
        <v>15944549.682265058</v>
      </c>
      <c r="DQ37" s="39">
        <f>DK37+Commerical!I37</f>
        <v>9724550.679576507</v>
      </c>
      <c r="DR37" s="39">
        <f>DL37+Commerical!J37</f>
        <v>-3078350.9311135</v>
      </c>
      <c r="DS37" s="39">
        <f>DM37+Commerical!K38</f>
        <v>4635460.586467689</v>
      </c>
      <c r="DT37" s="39">
        <f>DN37+Commerical!L38</f>
        <v>10344862.656099722</v>
      </c>
      <c r="DU37" s="39">
        <f>DO37+Commerical!M38</f>
        <v>10939855.776438313</v>
      </c>
      <c r="DV37" s="243">
        <f>DP37+Commerical!N38</f>
        <v>15944549.682265058</v>
      </c>
      <c r="DW37" s="138"/>
      <c r="DX37" s="39"/>
      <c r="DY37" s="39"/>
      <c r="DZ37" s="38"/>
      <c r="EA37" s="546"/>
      <c r="EB37" s="39"/>
      <c r="EC37" s="38"/>
      <c r="ED37" s="38"/>
    </row>
    <row r="38" spans="1:134" ht="12.75">
      <c r="A38" s="88" t="s">
        <v>6</v>
      </c>
      <c r="B38" s="29">
        <f>B148</f>
        <v>0.9572726914026904</v>
      </c>
      <c r="C38" s="41">
        <v>2099</v>
      </c>
      <c r="D38" s="397">
        <v>1754</v>
      </c>
      <c r="E38" s="397">
        <v>1065</v>
      </c>
      <c r="F38" s="397">
        <v>1369</v>
      </c>
      <c r="G38" s="494"/>
      <c r="H38" s="401">
        <v>38</v>
      </c>
      <c r="I38" s="205">
        <v>12</v>
      </c>
      <c r="J38" s="401">
        <v>4</v>
      </c>
      <c r="K38" s="401">
        <v>3</v>
      </c>
      <c r="L38" s="494"/>
      <c r="M38" s="401"/>
      <c r="N38" s="400"/>
      <c r="O38" s="400"/>
      <c r="P38" s="400"/>
      <c r="Q38" s="398"/>
      <c r="R38" s="271"/>
      <c r="S38" s="205">
        <v>580</v>
      </c>
      <c r="T38" s="205">
        <v>494</v>
      </c>
      <c r="U38" s="205">
        <v>451</v>
      </c>
      <c r="V38" s="397"/>
      <c r="W38" s="397"/>
      <c r="X38" s="216"/>
      <c r="Y38" s="205"/>
      <c r="AB38" s="398"/>
      <c r="AE38" s="622"/>
      <c r="AF38" s="205"/>
      <c r="AG38" s="205"/>
      <c r="AH38" s="205"/>
      <c r="AI38" s="286"/>
      <c r="AJ38" s="618"/>
      <c r="AL38" s="205"/>
      <c r="AM38" s="286"/>
      <c r="AN38" s="205"/>
      <c r="AO38" s="41"/>
      <c r="AP38" s="498"/>
      <c r="AQ38" s="39"/>
      <c r="AR38" s="39"/>
      <c r="AS38" s="205"/>
      <c r="AT38" s="205"/>
      <c r="AU38" s="205"/>
      <c r="AV38" s="235"/>
      <c r="AW38" s="41">
        <f t="shared" si="0"/>
        <v>2717</v>
      </c>
      <c r="AX38" s="41">
        <f t="shared" si="0"/>
        <v>2260</v>
      </c>
      <c r="AY38" s="41">
        <f t="shared" si="1"/>
        <v>1520</v>
      </c>
      <c r="AZ38" s="41">
        <f>(F38+K38+P38+V38+AB38+(AH38/0.212)+(AN38/0.55)+(AT38/0.635))</f>
        <v>1372</v>
      </c>
      <c r="BA38" s="41">
        <f>(G38+K38+P38+V38+AC38+(AH38/0.212)+(AN38/0.55)+(AT38/0.635))</f>
        <v>3</v>
      </c>
      <c r="BB38" s="237">
        <f>(R38+X38+AD38+(AJ38/0.212)+(AP38/0.55)+(AV38/0.635))</f>
        <v>0</v>
      </c>
      <c r="BC38" s="41"/>
      <c r="BD38" s="41"/>
      <c r="BE38" s="210"/>
      <c r="BF38" s="41"/>
      <c r="BG38" s="41"/>
      <c r="BH38" s="237"/>
      <c r="BI38" s="41"/>
      <c r="BJ38" s="41"/>
      <c r="BK38" s="41"/>
      <c r="BL38" s="401"/>
      <c r="BM38" s="401"/>
      <c r="BN38" s="216"/>
      <c r="BO38" s="205"/>
      <c r="BR38" s="205"/>
      <c r="BS38" s="205"/>
      <c r="BT38" s="216"/>
      <c r="BU38" s="205"/>
      <c r="BV38" s="205"/>
      <c r="BW38" s="205"/>
      <c r="BX38" s="205"/>
      <c r="BY38" s="205"/>
      <c r="BZ38" s="235"/>
      <c r="CA38" s="41"/>
      <c r="CB38" s="41"/>
      <c r="CC38" s="205"/>
      <c r="CD38" s="205"/>
      <c r="CE38" s="205"/>
      <c r="CF38" s="216"/>
      <c r="CG38" s="205"/>
      <c r="CH38" s="205"/>
      <c r="CI38" s="39"/>
      <c r="CJ38" s="41"/>
      <c r="CK38" s="41"/>
      <c r="CL38" s="498"/>
      <c r="CM38" s="39"/>
      <c r="CN38" s="39"/>
      <c r="CO38" s="39"/>
      <c r="CP38" s="205"/>
      <c r="CQ38" s="205"/>
      <c r="CR38" s="282"/>
      <c r="CS38" s="205"/>
      <c r="CT38" s="41"/>
      <c r="CU38" s="41"/>
      <c r="CV38" s="41"/>
      <c r="CW38" s="41"/>
      <c r="CX38" s="237"/>
      <c r="CY38" s="41"/>
      <c r="CZ38" s="41"/>
      <c r="DA38" s="39"/>
      <c r="DB38" s="41"/>
      <c r="DC38" s="41"/>
      <c r="DD38" s="237"/>
      <c r="DE38" s="41"/>
      <c r="DF38" s="39"/>
      <c r="DG38" s="39"/>
      <c r="DH38" s="39"/>
      <c r="DI38" s="39"/>
      <c r="DJ38" s="243"/>
      <c r="DK38" s="39"/>
      <c r="DL38" s="39"/>
      <c r="DM38" s="39"/>
      <c r="DN38" s="39"/>
      <c r="DO38" s="39"/>
      <c r="DP38" s="243"/>
      <c r="DQ38" s="39"/>
      <c r="DR38" s="39"/>
      <c r="DS38" s="39"/>
      <c r="DT38" s="39"/>
      <c r="DU38" s="39"/>
      <c r="DV38" s="243"/>
      <c r="DW38" s="39"/>
      <c r="DX38" s="39"/>
      <c r="DY38" s="39"/>
      <c r="DZ38" s="38"/>
      <c r="EA38" s="546"/>
      <c r="EB38" s="39"/>
      <c r="EC38" s="38"/>
      <c r="ED38" s="38"/>
    </row>
    <row r="39" spans="1:134" ht="12.75">
      <c r="A39" s="88" t="s">
        <v>196</v>
      </c>
      <c r="B39" s="29">
        <f>Commerical!B39</f>
        <v>1.7085825305</v>
      </c>
      <c r="C39" s="41"/>
      <c r="E39" s="398"/>
      <c r="F39" s="398"/>
      <c r="G39" s="494"/>
      <c r="H39" s="401"/>
      <c r="J39" s="205"/>
      <c r="K39" s="205"/>
      <c r="L39" s="216"/>
      <c r="M39" s="205"/>
      <c r="N39" s="205"/>
      <c r="O39" s="205"/>
      <c r="P39" s="205"/>
      <c r="Q39" s="205"/>
      <c r="R39" s="271"/>
      <c r="S39" s="205"/>
      <c r="T39" s="205"/>
      <c r="U39" s="205"/>
      <c r="V39" s="205"/>
      <c r="W39" s="205"/>
      <c r="X39" s="216"/>
      <c r="Y39" s="205"/>
      <c r="AB39" s="398"/>
      <c r="AE39" s="622"/>
      <c r="AF39" s="205"/>
      <c r="AG39" s="205"/>
      <c r="AH39" s="205"/>
      <c r="AI39" s="286"/>
      <c r="AJ39" s="618"/>
      <c r="AL39" s="205"/>
      <c r="AM39" s="286"/>
      <c r="AN39" s="205"/>
      <c r="AO39" s="41"/>
      <c r="AP39" s="498"/>
      <c r="AQ39" s="39"/>
      <c r="AR39" s="39"/>
      <c r="AS39" s="205"/>
      <c r="AT39" s="205"/>
      <c r="AU39" s="205"/>
      <c r="AV39" s="235"/>
      <c r="AW39" s="41"/>
      <c r="AX39" s="41"/>
      <c r="AY39" s="41"/>
      <c r="AZ39" s="41"/>
      <c r="BA39" s="41"/>
      <c r="BB39" s="237"/>
      <c r="BC39" s="41"/>
      <c r="BD39" s="41"/>
      <c r="BE39" s="210"/>
      <c r="BF39" s="41"/>
      <c r="BG39" s="41"/>
      <c r="BH39" s="224"/>
      <c r="BI39" s="210"/>
      <c r="BJ39" s="210"/>
      <c r="BK39" s="41"/>
      <c r="BL39" s="286"/>
      <c r="BM39" s="286"/>
      <c r="BN39" s="216">
        <v>2471</v>
      </c>
      <c r="BO39" s="205"/>
      <c r="BP39" s="205"/>
      <c r="BQ39" s="205"/>
      <c r="BR39" s="205"/>
      <c r="BS39" s="205"/>
      <c r="BT39" s="216"/>
      <c r="BU39" s="205"/>
      <c r="BV39" s="205"/>
      <c r="BW39" s="205"/>
      <c r="BX39" s="205"/>
      <c r="BY39" s="205"/>
      <c r="BZ39" s="235"/>
      <c r="CA39" s="41"/>
      <c r="CB39" s="41"/>
      <c r="CC39" s="205"/>
      <c r="CD39" s="205"/>
      <c r="CE39" s="205"/>
      <c r="CF39" s="216"/>
      <c r="CG39" s="205"/>
      <c r="CH39" s="205"/>
      <c r="CI39" s="39"/>
      <c r="CJ39" s="41"/>
      <c r="CK39" s="41"/>
      <c r="CL39" s="498"/>
      <c r="CM39" s="39"/>
      <c r="CN39" s="39"/>
      <c r="CO39" s="39"/>
      <c r="CP39" s="205"/>
      <c r="CQ39" s="205"/>
      <c r="CR39" s="282"/>
      <c r="CS39" s="41">
        <f aca="true" t="shared" si="38" ref="CS39:CX39">(BI39+BO39+BU39+(CA39/0.212)+(CG39/0.55)+(CM39/0.635))</f>
        <v>0</v>
      </c>
      <c r="CT39" s="41">
        <f t="shared" si="38"/>
        <v>0</v>
      </c>
      <c r="CU39" s="41">
        <f t="shared" si="38"/>
        <v>0</v>
      </c>
      <c r="CV39" s="41">
        <f t="shared" si="38"/>
        <v>0</v>
      </c>
      <c r="CW39" s="41">
        <f t="shared" si="38"/>
        <v>0</v>
      </c>
      <c r="CX39" s="237">
        <f t="shared" si="38"/>
        <v>2471</v>
      </c>
      <c r="CY39" s="41">
        <f aca="true" t="shared" si="39" ref="CY39:DD39">CS39*1000/0.45359237/$B39</f>
        <v>0</v>
      </c>
      <c r="CZ39" s="41">
        <f t="shared" si="39"/>
        <v>0</v>
      </c>
      <c r="DA39" s="41">
        <f t="shared" si="39"/>
        <v>0</v>
      </c>
      <c r="DB39" s="41">
        <f t="shared" si="39"/>
        <v>0</v>
      </c>
      <c r="DC39" s="41">
        <f t="shared" si="39"/>
        <v>0</v>
      </c>
      <c r="DD39" s="237">
        <f t="shared" si="39"/>
        <v>3188387.0994479447</v>
      </c>
      <c r="DE39" s="39">
        <f aca="true" t="shared" si="40" ref="DE39:DP39">AW39-CS39</f>
        <v>0</v>
      </c>
      <c r="DF39" s="39">
        <f t="shared" si="40"/>
        <v>0</v>
      </c>
      <c r="DG39" s="39">
        <f t="shared" si="40"/>
        <v>0</v>
      </c>
      <c r="DH39" s="39">
        <f t="shared" si="40"/>
        <v>0</v>
      </c>
      <c r="DI39" s="39">
        <f t="shared" si="40"/>
        <v>0</v>
      </c>
      <c r="DJ39" s="243">
        <f t="shared" si="40"/>
        <v>-2471</v>
      </c>
      <c r="DK39" s="39">
        <f t="shared" si="40"/>
        <v>0</v>
      </c>
      <c r="DL39" s="39">
        <f t="shared" si="40"/>
        <v>0</v>
      </c>
      <c r="DM39" s="39">
        <f t="shared" si="40"/>
        <v>0</v>
      </c>
      <c r="DN39" s="39">
        <f t="shared" si="40"/>
        <v>0</v>
      </c>
      <c r="DO39" s="39">
        <f t="shared" si="40"/>
        <v>0</v>
      </c>
      <c r="DP39" s="243">
        <f t="shared" si="40"/>
        <v>-3188387.0994479447</v>
      </c>
      <c r="DQ39" s="39">
        <f>DK39+Commerical!I39</f>
        <v>2362777.2893233383</v>
      </c>
      <c r="DR39" s="39">
        <f>DL39+Commerical!J39</f>
        <v>1700239.7883290309</v>
      </c>
      <c r="DS39" s="39">
        <f>DM39+Commerical!K39</f>
        <v>2068966.4894124353</v>
      </c>
      <c r="DT39" s="39">
        <f>DN39+Commerical!L39</f>
        <v>2152661.597753589</v>
      </c>
      <c r="DU39" s="39">
        <f>DO39+Commerical!M39</f>
        <v>2265035.4495123406</v>
      </c>
      <c r="DV39" s="243">
        <f>DP39+Commerical!N39</f>
        <v>-691580.5806831783</v>
      </c>
      <c r="DW39" s="138"/>
      <c r="DX39" s="39"/>
      <c r="DY39" s="38"/>
      <c r="DZ39" s="38"/>
      <c r="EA39" s="546"/>
      <c r="EB39" s="38"/>
      <c r="EC39" s="38"/>
      <c r="ED39" s="38"/>
    </row>
    <row r="40" spans="1:134" ht="12.75">
      <c r="A40" s="88" t="s">
        <v>197</v>
      </c>
      <c r="B40" s="29">
        <f>Commerical!B40</f>
        <v>1.9194849999999999</v>
      </c>
      <c r="C40" s="41"/>
      <c r="G40" s="618"/>
      <c r="I40" s="205"/>
      <c r="J40" s="205"/>
      <c r="K40" s="205"/>
      <c r="L40" s="216"/>
      <c r="M40" s="205"/>
      <c r="N40" s="205"/>
      <c r="O40" s="205"/>
      <c r="P40" s="205"/>
      <c r="Q40" s="205"/>
      <c r="R40" s="271"/>
      <c r="S40" s="205"/>
      <c r="T40" s="205"/>
      <c r="U40" s="205"/>
      <c r="V40" s="205"/>
      <c r="W40" s="205"/>
      <c r="X40" s="216"/>
      <c r="Y40" s="205"/>
      <c r="Z40" s="205"/>
      <c r="AA40" s="205"/>
      <c r="AB40" s="398"/>
      <c r="AE40" s="622"/>
      <c r="AF40" s="205"/>
      <c r="AG40" s="205"/>
      <c r="AH40" s="205"/>
      <c r="AI40" s="286"/>
      <c r="AJ40" s="618"/>
      <c r="AL40" s="205"/>
      <c r="AM40" s="286"/>
      <c r="AN40" s="205"/>
      <c r="AO40" s="41"/>
      <c r="AP40" s="498"/>
      <c r="AQ40" s="39"/>
      <c r="AR40" s="39"/>
      <c r="AS40" s="205"/>
      <c r="AT40" s="205"/>
      <c r="AU40" s="205"/>
      <c r="AV40" s="235"/>
      <c r="AW40" s="41"/>
      <c r="AX40" s="41"/>
      <c r="AY40" s="41"/>
      <c r="AZ40" s="41"/>
      <c r="BA40" s="41"/>
      <c r="BB40" s="237"/>
      <c r="BC40" s="41"/>
      <c r="BD40" s="41"/>
      <c r="BE40" s="210"/>
      <c r="BF40" s="41"/>
      <c r="BG40" s="41"/>
      <c r="BH40" s="224"/>
      <c r="BI40" s="210"/>
      <c r="BJ40" s="210"/>
      <c r="BK40" s="41"/>
      <c r="BL40" s="286"/>
      <c r="BM40" s="41"/>
      <c r="BN40" s="216"/>
      <c r="BO40" s="205"/>
      <c r="BP40" s="205"/>
      <c r="BQ40" s="205"/>
      <c r="BR40" s="205"/>
      <c r="BS40" s="205"/>
      <c r="BT40" s="216"/>
      <c r="BU40" s="205"/>
      <c r="BV40" s="205"/>
      <c r="BW40" s="205"/>
      <c r="BX40" s="205"/>
      <c r="BY40" s="205"/>
      <c r="BZ40" s="235"/>
      <c r="CA40" s="41"/>
      <c r="CB40" s="41"/>
      <c r="CC40" s="205"/>
      <c r="CD40" s="205"/>
      <c r="CE40" s="205"/>
      <c r="CF40" s="216"/>
      <c r="CG40" s="205"/>
      <c r="CH40" s="205"/>
      <c r="CI40" s="39"/>
      <c r="CJ40" s="41"/>
      <c r="CK40" s="41"/>
      <c r="CL40" s="498"/>
      <c r="CM40" s="39"/>
      <c r="CN40" s="39"/>
      <c r="CO40" s="39"/>
      <c r="CP40" s="205"/>
      <c r="CQ40" s="205"/>
      <c r="CR40" s="282"/>
      <c r="CS40" s="205"/>
      <c r="CT40" s="41"/>
      <c r="CU40" s="41"/>
      <c r="CV40" s="41"/>
      <c r="CW40" s="41"/>
      <c r="CX40" s="237"/>
      <c r="CY40" s="41"/>
      <c r="CZ40" s="41"/>
      <c r="DA40" s="39"/>
      <c r="DB40" s="41"/>
      <c r="DC40" s="41"/>
      <c r="DD40" s="224"/>
      <c r="DE40" s="210"/>
      <c r="DF40" s="39"/>
      <c r="DG40" s="39"/>
      <c r="DH40" s="39"/>
      <c r="DI40" s="39"/>
      <c r="DJ40" s="243"/>
      <c r="DK40" s="39"/>
      <c r="DL40" s="39"/>
      <c r="DM40" s="39"/>
      <c r="DN40" s="39"/>
      <c r="DO40" s="39"/>
      <c r="DP40" s="243"/>
      <c r="DQ40" s="39">
        <f>DK40+Commerical!I40</f>
        <v>1844765.65328721</v>
      </c>
      <c r="DR40" s="39">
        <f>DL40+Commerical!J40</f>
        <v>3292028.851488811</v>
      </c>
      <c r="DS40" s="39">
        <f>DM40+Commerical!K40</f>
        <v>3671818.2220751923</v>
      </c>
      <c r="DT40" s="39">
        <f>DN40+Commerical!L40</f>
        <v>1748906.607761978</v>
      </c>
      <c r="DU40" s="39">
        <f>DO40+Commerical!M40</f>
        <v>1594177.6049304893</v>
      </c>
      <c r="DV40" s="243">
        <f>DP40+Commerical!N40</f>
        <v>1570212.8435491812</v>
      </c>
      <c r="DW40" s="138"/>
      <c r="DX40" s="39"/>
      <c r="DY40" s="38"/>
      <c r="DZ40" s="38"/>
      <c r="EA40" s="546"/>
      <c r="EB40" s="38"/>
      <c r="EC40" s="38"/>
      <c r="ED40" s="38"/>
    </row>
    <row r="41" spans="1:134" ht="13.5">
      <c r="A41" s="88" t="s">
        <v>198</v>
      </c>
      <c r="B41" s="29">
        <f>Commerical!B41</f>
        <v>2.33351316769348</v>
      </c>
      <c r="C41" s="41"/>
      <c r="E41" s="397"/>
      <c r="F41" s="397"/>
      <c r="G41" s="495"/>
      <c r="H41" s="401"/>
      <c r="I41" s="205"/>
      <c r="J41" s="205"/>
      <c r="K41" s="205"/>
      <c r="L41" s="216"/>
      <c r="M41" s="205"/>
      <c r="N41" s="205"/>
      <c r="O41" s="205"/>
      <c r="P41" s="205"/>
      <c r="Q41" s="205"/>
      <c r="R41" s="271"/>
      <c r="S41" s="205"/>
      <c r="T41" s="205"/>
      <c r="U41" s="205"/>
      <c r="V41" s="205"/>
      <c r="W41" s="205"/>
      <c r="X41" s="216"/>
      <c r="Y41" s="205"/>
      <c r="Z41" s="205"/>
      <c r="AA41" s="205"/>
      <c r="AB41" s="402"/>
      <c r="AC41" s="395"/>
      <c r="AD41" s="396"/>
      <c r="AE41" s="625"/>
      <c r="AF41" s="205"/>
      <c r="AG41" s="205"/>
      <c r="AH41" s="205"/>
      <c r="AI41" s="286"/>
      <c r="AJ41" s="618"/>
      <c r="AL41" s="205"/>
      <c r="AM41" s="286"/>
      <c r="AN41" s="205"/>
      <c r="AO41" s="41"/>
      <c r="AP41" s="498"/>
      <c r="AQ41" s="39"/>
      <c r="AR41" s="39"/>
      <c r="AS41" s="205"/>
      <c r="AT41" s="205"/>
      <c r="AU41" s="205"/>
      <c r="AV41" s="235"/>
      <c r="AW41" s="41"/>
      <c r="AX41" s="41"/>
      <c r="AY41" s="41"/>
      <c r="AZ41" s="41"/>
      <c r="BA41" s="41"/>
      <c r="BB41" s="237"/>
      <c r="BC41" s="41"/>
      <c r="BD41" s="41"/>
      <c r="BE41" s="210"/>
      <c r="BF41" s="41"/>
      <c r="BG41" s="41"/>
      <c r="BH41" s="224"/>
      <c r="BI41" s="210"/>
      <c r="BJ41" s="210"/>
      <c r="BK41" s="41"/>
      <c r="BL41" s="286"/>
      <c r="BM41" s="41"/>
      <c r="BN41" s="216"/>
      <c r="BO41" s="205"/>
      <c r="BP41" s="205"/>
      <c r="BQ41" s="205"/>
      <c r="BR41" s="205"/>
      <c r="BS41" s="205"/>
      <c r="BT41" s="216"/>
      <c r="BU41" s="205"/>
      <c r="BV41" s="205"/>
      <c r="BW41" s="205"/>
      <c r="BX41" s="205"/>
      <c r="BY41" s="205"/>
      <c r="BZ41" s="235"/>
      <c r="CA41" s="41"/>
      <c r="CB41" s="41"/>
      <c r="CC41" s="205"/>
      <c r="CD41" s="205"/>
      <c r="CE41" s="205"/>
      <c r="CF41" s="216"/>
      <c r="CG41" s="205"/>
      <c r="CH41" s="205"/>
      <c r="CI41" s="39"/>
      <c r="CJ41" s="41"/>
      <c r="CK41" s="41"/>
      <c r="CL41" s="498"/>
      <c r="CM41" s="39"/>
      <c r="CN41" s="39"/>
      <c r="CO41" s="39"/>
      <c r="CP41" s="205"/>
      <c r="CQ41" s="205"/>
      <c r="CR41" s="282"/>
      <c r="CS41" s="205"/>
      <c r="CT41" s="41"/>
      <c r="CU41" s="41"/>
      <c r="CV41" s="41"/>
      <c r="CW41" s="41"/>
      <c r="CX41" s="237"/>
      <c r="CY41" s="41"/>
      <c r="CZ41" s="41"/>
      <c r="DA41" s="39"/>
      <c r="DB41" s="41"/>
      <c r="DC41" s="41"/>
      <c r="DD41" s="224"/>
      <c r="DE41" s="210"/>
      <c r="DF41" s="39"/>
      <c r="DG41" s="39"/>
      <c r="DH41" s="39"/>
      <c r="DI41" s="39"/>
      <c r="DJ41" s="243"/>
      <c r="DK41" s="39"/>
      <c r="DL41" s="39"/>
      <c r="DM41" s="39"/>
      <c r="DN41" s="39"/>
      <c r="DO41" s="39"/>
      <c r="DP41" s="243"/>
      <c r="DQ41" s="39">
        <f>DK41+Commerical!I41</f>
        <v>32673910.33210369</v>
      </c>
      <c r="DR41" s="39">
        <f>DL41+Commerical!J41</f>
        <v>18913542.297952604</v>
      </c>
      <c r="DS41" s="39">
        <f>DM41+Commerical!K41</f>
        <v>19572205.819238503</v>
      </c>
      <c r="DT41" s="39">
        <f>DN41+Commerical!L41</f>
        <v>16055191.167843986</v>
      </c>
      <c r="DU41" s="39">
        <f>DO41+Commerical!M41</f>
        <v>12464467.911595093</v>
      </c>
      <c r="DV41" s="243">
        <f>DP41+Commerical!N41</f>
        <v>12116923.268938707</v>
      </c>
      <c r="DW41" s="138"/>
      <c r="DX41" s="39"/>
      <c r="DY41" s="38"/>
      <c r="DZ41" s="38"/>
      <c r="EA41" s="546"/>
      <c r="EB41" s="38"/>
      <c r="EC41" s="38"/>
      <c r="ED41" s="38"/>
    </row>
    <row r="42" spans="1:134" ht="12.75">
      <c r="A42" s="88" t="s">
        <v>645</v>
      </c>
      <c r="B42" s="29">
        <f>SUM(Commerical!C27:H41)*1000/SUM(Commerical!I27:N41)</f>
        <v>2.3034292391746076</v>
      </c>
      <c r="C42" s="41">
        <v>652</v>
      </c>
      <c r="D42" s="397">
        <v>870</v>
      </c>
      <c r="E42" s="398">
        <v>616</v>
      </c>
      <c r="F42" s="398">
        <f>615</f>
        <v>615</v>
      </c>
      <c r="G42" s="495">
        <f>1054</f>
        <v>1054</v>
      </c>
      <c r="H42" s="401">
        <v>413</v>
      </c>
      <c r="I42" s="205">
        <v>415</v>
      </c>
      <c r="J42" s="401">
        <v>729</v>
      </c>
      <c r="K42" s="401">
        <v>1073</v>
      </c>
      <c r="L42" s="495">
        <v>1094</v>
      </c>
      <c r="M42" s="401"/>
      <c r="N42" s="205"/>
      <c r="O42" s="205"/>
      <c r="P42" s="205"/>
      <c r="Q42" s="205"/>
      <c r="R42" s="271">
        <f>1738+1465</f>
        <v>3203</v>
      </c>
      <c r="S42" s="205">
        <v>13825</v>
      </c>
      <c r="T42" s="205">
        <v>13118</v>
      </c>
      <c r="U42" s="205">
        <v>11384</v>
      </c>
      <c r="V42" s="397">
        <v>11279</v>
      </c>
      <c r="W42" s="397">
        <v>11310</v>
      </c>
      <c r="X42" s="216">
        <v>8151</v>
      </c>
      <c r="Y42" s="205"/>
      <c r="Z42" s="205"/>
      <c r="AA42" s="205"/>
      <c r="AB42" s="398"/>
      <c r="AE42" s="622"/>
      <c r="AF42" s="205"/>
      <c r="AG42" s="205"/>
      <c r="AH42" s="205"/>
      <c r="AI42" s="286"/>
      <c r="AJ42" s="618"/>
      <c r="AL42" s="205"/>
      <c r="AM42" s="286"/>
      <c r="AN42" s="205"/>
      <c r="AO42" s="41"/>
      <c r="AP42" s="498"/>
      <c r="AQ42" s="39"/>
      <c r="AR42" s="39"/>
      <c r="AS42" s="205"/>
      <c r="AT42" s="205"/>
      <c r="AU42" s="205"/>
      <c r="AV42" s="235"/>
      <c r="AW42" s="41">
        <f t="shared" si="0"/>
        <v>14890</v>
      </c>
      <c r="AX42" s="41">
        <f t="shared" si="0"/>
        <v>14403</v>
      </c>
      <c r="AY42" s="41">
        <f t="shared" si="1"/>
        <v>12729</v>
      </c>
      <c r="AZ42" s="41">
        <f aca="true" t="shared" si="41" ref="AZ42:BA46">(F42+K42+P42+V42+AB42+(AH42/0.212)+(AN42/0.55)+(AT42/0.635))</f>
        <v>12967</v>
      </c>
      <c r="BA42" s="41">
        <f t="shared" si="41"/>
        <v>13458</v>
      </c>
      <c r="BB42" s="237">
        <f>(R42+X42+AD42+(AJ42/0.212)+(AP42/0.55)+(AV42/0.635))</f>
        <v>11354</v>
      </c>
      <c r="BC42" s="41">
        <f aca="true" t="shared" si="42" ref="BC42:BC50">AW42*1000/0.45359237/$B42</f>
        <v>14251286.85571916</v>
      </c>
      <c r="BD42" s="41">
        <f>AX42*1000/0.45359237/$B42</f>
        <v>13785176.936395101</v>
      </c>
      <c r="BE42" s="41">
        <f aca="true" t="shared" si="43" ref="BE42:BH46">AY42*1000/0.45359237/$B42</f>
        <v>12182983.907753471</v>
      </c>
      <c r="BF42" s="41">
        <f t="shared" si="43"/>
        <v>12410774.792351265</v>
      </c>
      <c r="BG42" s="41">
        <f t="shared" si="43"/>
        <v>12880713.129903859</v>
      </c>
      <c r="BH42" s="237">
        <f t="shared" si="43"/>
        <v>10866965.141694784</v>
      </c>
      <c r="BI42" s="41"/>
      <c r="BJ42" s="41"/>
      <c r="BK42" s="41"/>
      <c r="BL42" s="286"/>
      <c r="BM42" s="41"/>
      <c r="BN42" s="216">
        <v>15673</v>
      </c>
      <c r="BO42" s="205"/>
      <c r="BP42" s="205"/>
      <c r="BQ42" s="205"/>
      <c r="BR42" s="205"/>
      <c r="BS42" s="205"/>
      <c r="BT42" s="216"/>
      <c r="BU42" s="205"/>
      <c r="BV42" s="205"/>
      <c r="BW42" s="205"/>
      <c r="BX42" s="205"/>
      <c r="BY42" s="205"/>
      <c r="BZ42" s="235"/>
      <c r="CA42" s="41"/>
      <c r="CB42" s="41"/>
      <c r="CC42" s="205"/>
      <c r="CD42" s="205"/>
      <c r="CE42" s="205"/>
      <c r="CF42" s="216"/>
      <c r="CG42" s="205"/>
      <c r="CH42" s="205"/>
      <c r="CI42" s="39"/>
      <c r="CJ42" s="41"/>
      <c r="CK42" s="41"/>
      <c r="CL42" s="498"/>
      <c r="CM42" s="39"/>
      <c r="CN42" s="39"/>
      <c r="CO42" s="39"/>
      <c r="CP42" s="205"/>
      <c r="CQ42" s="205"/>
      <c r="CR42" s="282"/>
      <c r="CS42" s="41">
        <f aca="true" t="shared" si="44" ref="CS42:CX43">(BI42+BO42+BU42+(CA42/0.212)+(CG42/0.55)+(CM42/0.635))</f>
        <v>0</v>
      </c>
      <c r="CT42" s="41">
        <f t="shared" si="44"/>
        <v>0</v>
      </c>
      <c r="CU42" s="41">
        <f t="shared" si="44"/>
        <v>0</v>
      </c>
      <c r="CV42" s="41">
        <f t="shared" si="44"/>
        <v>0</v>
      </c>
      <c r="CW42" s="41">
        <f t="shared" si="44"/>
        <v>0</v>
      </c>
      <c r="CX42" s="237">
        <f t="shared" si="44"/>
        <v>15673</v>
      </c>
      <c r="CY42" s="41">
        <f>CS42*1000/0.45359237/$B42</f>
        <v>0</v>
      </c>
      <c r="CZ42" s="41">
        <f>CT42*1000/0.45359237/$B42</f>
        <v>0</v>
      </c>
      <c r="DA42" s="41">
        <f aca="true" t="shared" si="45" ref="DA42:DD43">CU42*1000/0.45359237/$B42</f>
        <v>0</v>
      </c>
      <c r="DB42" s="41">
        <f t="shared" si="45"/>
        <v>0</v>
      </c>
      <c r="DC42" s="41">
        <f t="shared" si="45"/>
        <v>0</v>
      </c>
      <c r="DD42" s="237">
        <f t="shared" si="45"/>
        <v>15000699.723954761</v>
      </c>
      <c r="DE42" s="39">
        <f aca="true" t="shared" si="46" ref="DE42:DE52">AW42-CS42</f>
        <v>14890</v>
      </c>
      <c r="DF42" s="39">
        <f aca="true" t="shared" si="47" ref="DF42:DP46">AX42-CT42</f>
        <v>14403</v>
      </c>
      <c r="DG42" s="39">
        <f t="shared" si="47"/>
        <v>12729</v>
      </c>
      <c r="DH42" s="39">
        <f t="shared" si="47"/>
        <v>12967</v>
      </c>
      <c r="DI42" s="39">
        <f t="shared" si="47"/>
        <v>13458</v>
      </c>
      <c r="DJ42" s="243">
        <f t="shared" si="47"/>
        <v>-4319</v>
      </c>
      <c r="DK42" s="39">
        <f t="shared" si="47"/>
        <v>14251286.85571916</v>
      </c>
      <c r="DL42" s="39">
        <f t="shared" si="47"/>
        <v>13785176.936395101</v>
      </c>
      <c r="DM42" s="39">
        <f t="shared" si="47"/>
        <v>12182983.907753471</v>
      </c>
      <c r="DN42" s="39">
        <f t="shared" si="47"/>
        <v>12410774.792351265</v>
      </c>
      <c r="DO42" s="39">
        <f t="shared" si="47"/>
        <v>12880713.129903859</v>
      </c>
      <c r="DP42" s="243">
        <f t="shared" si="47"/>
        <v>-4133734.5822599772</v>
      </c>
      <c r="DQ42" s="39">
        <f>DK42+Commerical!I42</f>
        <v>14251286.85571916</v>
      </c>
      <c r="DR42" s="39">
        <f>DL42+Commerical!J42</f>
        <v>13785176.936395101</v>
      </c>
      <c r="DS42" s="39">
        <f>DM42+Commerical!K42</f>
        <v>12182983.907753471</v>
      </c>
      <c r="DT42" s="39">
        <f>DN42+Commerical!L42</f>
        <v>12410774.792351265</v>
      </c>
      <c r="DU42" s="39">
        <f>DO42+Commerical!M42</f>
        <v>12880713.129903859</v>
      </c>
      <c r="DV42" s="243">
        <f>DP42+Commerical!N42</f>
        <v>-4133734.5822599772</v>
      </c>
      <c r="DW42" s="138"/>
      <c r="DX42" s="39"/>
      <c r="DY42" s="39"/>
      <c r="DZ42" s="38"/>
      <c r="EA42" s="547"/>
      <c r="EB42" s="39"/>
      <c r="EC42" s="38"/>
      <c r="ED42" s="38"/>
    </row>
    <row r="43" spans="1:134" ht="12.75">
      <c r="A43" s="88" t="s">
        <v>761</v>
      </c>
      <c r="B43" s="29">
        <f>Commerical!B43</f>
        <v>66.1386786</v>
      </c>
      <c r="C43" s="41">
        <v>239</v>
      </c>
      <c r="D43" s="397">
        <v>229</v>
      </c>
      <c r="E43" s="398">
        <v>209</v>
      </c>
      <c r="F43" s="398">
        <v>166</v>
      </c>
      <c r="G43" s="494">
        <v>229</v>
      </c>
      <c r="H43" s="401"/>
      <c r="I43" s="205"/>
      <c r="J43" s="205"/>
      <c r="K43" s="205"/>
      <c r="L43" s="216"/>
      <c r="M43" s="205"/>
      <c r="N43" s="205"/>
      <c r="O43" s="205"/>
      <c r="P43" s="205"/>
      <c r="Q43" s="205"/>
      <c r="R43" s="271">
        <v>213</v>
      </c>
      <c r="S43" s="205"/>
      <c r="T43" s="205"/>
      <c r="U43" s="205"/>
      <c r="X43" s="216"/>
      <c r="Y43" s="205"/>
      <c r="Z43" s="205"/>
      <c r="AA43" s="205"/>
      <c r="AB43" s="398"/>
      <c r="AE43" s="622"/>
      <c r="AF43" s="205"/>
      <c r="AG43" s="205"/>
      <c r="AH43" s="205"/>
      <c r="AI43" s="205"/>
      <c r="AJ43" s="216"/>
      <c r="AK43" s="205"/>
      <c r="AL43" s="205"/>
      <c r="AM43" s="205"/>
      <c r="AN43" s="205"/>
      <c r="AO43" s="41"/>
      <c r="AP43" s="498"/>
      <c r="AQ43" s="39"/>
      <c r="AR43" s="39"/>
      <c r="AS43" s="205"/>
      <c r="AT43" s="205"/>
      <c r="AU43" s="205"/>
      <c r="AV43" s="235"/>
      <c r="AW43" s="41">
        <f t="shared" si="0"/>
        <v>239</v>
      </c>
      <c r="AX43" s="41">
        <f t="shared" si="0"/>
        <v>229</v>
      </c>
      <c r="AY43" s="41">
        <f t="shared" si="1"/>
        <v>209</v>
      </c>
      <c r="AZ43" s="41">
        <f t="shared" si="41"/>
        <v>166</v>
      </c>
      <c r="BA43" s="41">
        <f t="shared" si="41"/>
        <v>229</v>
      </c>
      <c r="BB43" s="237">
        <f>(R43+X43+AD43+(AJ43/0.212)+(AP43/0.55)+(AV43/0.635))</f>
        <v>213</v>
      </c>
      <c r="BC43" s="41">
        <f t="shared" si="42"/>
        <v>7966.666673347437</v>
      </c>
      <c r="BD43" s="41">
        <f>AX43*1000/0.45359237/$B43</f>
        <v>7633.333339734573</v>
      </c>
      <c r="BE43" s="41">
        <f t="shared" si="43"/>
        <v>6966.666672508847</v>
      </c>
      <c r="BF43" s="41">
        <f t="shared" si="43"/>
        <v>5533.333337973534</v>
      </c>
      <c r="BG43" s="41">
        <f t="shared" si="43"/>
        <v>7633.333339734573</v>
      </c>
      <c r="BH43" s="237">
        <f t="shared" si="43"/>
        <v>7100.0000059539925</v>
      </c>
      <c r="BI43" s="41">
        <v>2785</v>
      </c>
      <c r="BJ43" s="41">
        <v>2440</v>
      </c>
      <c r="BK43" s="41">
        <v>3379</v>
      </c>
      <c r="BL43" s="401">
        <v>4647</v>
      </c>
      <c r="BM43" s="401">
        <v>5295</v>
      </c>
      <c r="BN43" s="216">
        <v>5756</v>
      </c>
      <c r="BO43" s="205"/>
      <c r="BP43" s="205"/>
      <c r="BQ43" s="205"/>
      <c r="BR43" s="205"/>
      <c r="BS43" s="205"/>
      <c r="BT43" s="216"/>
      <c r="BU43" s="205"/>
      <c r="BV43" s="205"/>
      <c r="BW43" s="205"/>
      <c r="BX43" s="205"/>
      <c r="BY43" s="205"/>
      <c r="BZ43" s="235"/>
      <c r="CA43" s="41"/>
      <c r="CB43" s="41"/>
      <c r="CC43" s="205"/>
      <c r="CD43" s="205"/>
      <c r="CE43" s="205"/>
      <c r="CF43" s="216"/>
      <c r="CG43" s="205"/>
      <c r="CH43" s="205"/>
      <c r="CI43" s="39"/>
      <c r="CJ43" s="41"/>
      <c r="CK43" s="41"/>
      <c r="CL43" s="498"/>
      <c r="CM43" s="39"/>
      <c r="CN43" s="39"/>
      <c r="CO43" s="39"/>
      <c r="CP43" s="205"/>
      <c r="CQ43" s="205"/>
      <c r="CR43" s="282"/>
      <c r="CS43" s="41">
        <f t="shared" si="44"/>
        <v>2785</v>
      </c>
      <c r="CT43" s="41">
        <f t="shared" si="44"/>
        <v>2440</v>
      </c>
      <c r="CU43" s="41">
        <f t="shared" si="44"/>
        <v>3379</v>
      </c>
      <c r="CV43" s="41">
        <f t="shared" si="44"/>
        <v>4647</v>
      </c>
      <c r="CW43" s="41">
        <f t="shared" si="44"/>
        <v>5295</v>
      </c>
      <c r="CX43" s="237">
        <f t="shared" si="44"/>
        <v>5756</v>
      </c>
      <c r="CY43" s="41">
        <f>CS43*1000/0.45359237/$B43</f>
        <v>92833.33341118248</v>
      </c>
      <c r="CZ43" s="41">
        <f>CT43*1000/0.45359237/$B43</f>
        <v>81333.3334015387</v>
      </c>
      <c r="DA43" s="41">
        <f t="shared" si="45"/>
        <v>112633.33342778658</v>
      </c>
      <c r="DB43" s="41">
        <f t="shared" si="45"/>
        <v>154900.00012989767</v>
      </c>
      <c r="DC43" s="41">
        <f t="shared" si="45"/>
        <v>176500.00014801123</v>
      </c>
      <c r="DD43" s="237">
        <f t="shared" si="45"/>
        <v>191866.66682756422</v>
      </c>
      <c r="DE43" s="39">
        <f t="shared" si="46"/>
        <v>-2546</v>
      </c>
      <c r="DF43" s="39">
        <f t="shared" si="47"/>
        <v>-2211</v>
      </c>
      <c r="DG43" s="39">
        <f t="shared" si="47"/>
        <v>-3170</v>
      </c>
      <c r="DH43" s="39">
        <f t="shared" si="47"/>
        <v>-4481</v>
      </c>
      <c r="DI43" s="39">
        <f t="shared" si="47"/>
        <v>-5066</v>
      </c>
      <c r="DJ43" s="243">
        <f t="shared" si="47"/>
        <v>-5543</v>
      </c>
      <c r="DK43" s="39">
        <f t="shared" si="47"/>
        <v>-84866.66673783504</v>
      </c>
      <c r="DL43" s="39">
        <f t="shared" si="47"/>
        <v>-73700.00006180412</v>
      </c>
      <c r="DM43" s="39">
        <f t="shared" si="47"/>
        <v>-105666.66675527774</v>
      </c>
      <c r="DN43" s="39">
        <f t="shared" si="47"/>
        <v>-149366.66679192413</v>
      </c>
      <c r="DO43" s="39">
        <f t="shared" si="47"/>
        <v>-168866.66680827664</v>
      </c>
      <c r="DP43" s="243">
        <f t="shared" si="47"/>
        <v>-184766.6668216102</v>
      </c>
      <c r="DQ43" s="39">
        <f>DK43+Commerical!I43</f>
        <v>201304.7597351456</v>
      </c>
      <c r="DR43" s="39">
        <f>DL43+Commerical!J43</f>
        <v>167989.13462254073</v>
      </c>
      <c r="DS43" s="39">
        <f>DM43+Commerical!K43</f>
        <v>179763.89217941498</v>
      </c>
      <c r="DT43" s="39">
        <f>DN43+Commerical!L43</f>
        <v>215185.5212827859</v>
      </c>
      <c r="DU43" s="39">
        <f>DO43+Commerical!M43</f>
        <v>236418.1161265913</v>
      </c>
      <c r="DV43" s="243">
        <f>DP43+Commerical!N43</f>
        <v>301287.79753232375</v>
      </c>
      <c r="DW43" s="39"/>
      <c r="DX43" s="39"/>
      <c r="DY43" s="38"/>
      <c r="DZ43" s="38"/>
      <c r="EA43" s="546"/>
      <c r="EB43" s="38"/>
      <c r="ED43" s="38"/>
    </row>
    <row r="44" spans="1:134" ht="12.75">
      <c r="A44" s="88" t="s">
        <v>200</v>
      </c>
      <c r="B44" s="29">
        <f>Commerical!B44</f>
        <v>10</v>
      </c>
      <c r="C44" s="41">
        <v>4603</v>
      </c>
      <c r="D44" s="623">
        <v>4985</v>
      </c>
      <c r="E44" s="397">
        <v>4300</v>
      </c>
      <c r="F44" s="397">
        <v>3972</v>
      </c>
      <c r="G44" s="495">
        <v>4846</v>
      </c>
      <c r="H44" s="401"/>
      <c r="I44" s="205"/>
      <c r="J44" s="205"/>
      <c r="K44" s="205"/>
      <c r="L44" s="216"/>
      <c r="M44" s="205"/>
      <c r="N44" s="205"/>
      <c r="O44" s="205"/>
      <c r="P44" s="205"/>
      <c r="Q44" s="205"/>
      <c r="R44" s="271">
        <v>4658</v>
      </c>
      <c r="S44" s="205"/>
      <c r="T44" s="205"/>
      <c r="U44" s="205"/>
      <c r="V44" s="205"/>
      <c r="W44" s="205"/>
      <c r="X44" s="216"/>
      <c r="Y44" s="205"/>
      <c r="Z44" s="205"/>
      <c r="AA44" s="205"/>
      <c r="AB44" s="398"/>
      <c r="AE44" s="622"/>
      <c r="AF44" s="205"/>
      <c r="AG44" s="205"/>
      <c r="AH44" s="205"/>
      <c r="AI44" s="205"/>
      <c r="AJ44" s="216"/>
      <c r="AK44" s="205"/>
      <c r="AL44" s="205"/>
      <c r="AM44" s="205"/>
      <c r="AN44" s="205"/>
      <c r="AO44" s="41"/>
      <c r="AP44" s="498"/>
      <c r="AQ44" s="39"/>
      <c r="AR44" s="39"/>
      <c r="AS44" s="205"/>
      <c r="AT44" s="205"/>
      <c r="AU44" s="205"/>
      <c r="AV44" s="235"/>
      <c r="AW44" s="41">
        <f t="shared" si="0"/>
        <v>4603</v>
      </c>
      <c r="AX44" s="41">
        <f t="shared" si="0"/>
        <v>4985</v>
      </c>
      <c r="AY44" s="41">
        <f t="shared" si="1"/>
        <v>4300</v>
      </c>
      <c r="AZ44" s="41">
        <f t="shared" si="41"/>
        <v>3972</v>
      </c>
      <c r="BA44" s="41">
        <f t="shared" si="41"/>
        <v>4846</v>
      </c>
      <c r="BB44" s="237">
        <f>(R44+X44+AD44+(AJ44/0.212)+(AP44/0.55)+(AV44/0.635))</f>
        <v>4658</v>
      </c>
      <c r="BC44" s="41">
        <f t="shared" si="42"/>
        <v>1014787.7928369915</v>
      </c>
      <c r="BD44" s="41">
        <f>AX44*1000/0.45359237/$B44</f>
        <v>1099004.3769916147</v>
      </c>
      <c r="BE44" s="41">
        <f t="shared" si="43"/>
        <v>947987.7273949735</v>
      </c>
      <c r="BF44" s="41">
        <f t="shared" si="43"/>
        <v>875676.1053983336</v>
      </c>
      <c r="BG44" s="41">
        <f t="shared" si="43"/>
        <v>1068360.1225479166</v>
      </c>
      <c r="BH44" s="237">
        <f t="shared" si="43"/>
        <v>1026913.2172571598</v>
      </c>
      <c r="BI44" s="41"/>
      <c r="BJ44" s="41"/>
      <c r="BK44" s="41"/>
      <c r="BL44" s="286"/>
      <c r="BM44" s="41"/>
      <c r="BN44" s="216"/>
      <c r="BO44" s="205"/>
      <c r="BP44" s="205"/>
      <c r="BQ44" s="205"/>
      <c r="BR44" s="205"/>
      <c r="BS44" s="205"/>
      <c r="BT44" s="216"/>
      <c r="BU44" s="205"/>
      <c r="BV44" s="205"/>
      <c r="BW44" s="205"/>
      <c r="BX44" s="205"/>
      <c r="BY44" s="205"/>
      <c r="BZ44" s="235"/>
      <c r="CA44" s="41"/>
      <c r="CB44" s="41"/>
      <c r="CC44" s="205"/>
      <c r="CD44" s="205"/>
      <c r="CE44" s="205"/>
      <c r="CF44" s="216"/>
      <c r="CG44" s="205"/>
      <c r="CH44" s="205"/>
      <c r="CI44" s="39"/>
      <c r="CJ44" s="41"/>
      <c r="CK44" s="41"/>
      <c r="CL44" s="498"/>
      <c r="CM44" s="39"/>
      <c r="CN44" s="39"/>
      <c r="CO44" s="39"/>
      <c r="CP44" s="205"/>
      <c r="CQ44" s="205"/>
      <c r="CR44" s="282"/>
      <c r="CS44" s="205"/>
      <c r="CT44" s="41"/>
      <c r="CU44" s="41"/>
      <c r="CV44" s="41"/>
      <c r="CW44" s="41"/>
      <c r="CX44" s="237"/>
      <c r="CY44" s="41"/>
      <c r="CZ44" s="41"/>
      <c r="DA44" s="39"/>
      <c r="DB44" s="41"/>
      <c r="DC44" s="41"/>
      <c r="DD44" s="237"/>
      <c r="DE44" s="39">
        <f t="shared" si="46"/>
        <v>4603</v>
      </c>
      <c r="DF44" s="39">
        <f t="shared" si="47"/>
        <v>4985</v>
      </c>
      <c r="DG44" s="39">
        <f t="shared" si="47"/>
        <v>4300</v>
      </c>
      <c r="DH44" s="39">
        <f t="shared" si="47"/>
        <v>3972</v>
      </c>
      <c r="DI44" s="39">
        <f t="shared" si="47"/>
        <v>4846</v>
      </c>
      <c r="DJ44" s="243">
        <f t="shared" si="47"/>
        <v>4658</v>
      </c>
      <c r="DK44" s="39">
        <f t="shared" si="47"/>
        <v>1014787.7928369915</v>
      </c>
      <c r="DL44" s="39">
        <f t="shared" si="47"/>
        <v>1099004.3769916147</v>
      </c>
      <c r="DM44" s="39">
        <f t="shared" si="47"/>
        <v>947987.7273949735</v>
      </c>
      <c r="DN44" s="39">
        <f t="shared" si="47"/>
        <v>875676.1053983336</v>
      </c>
      <c r="DO44" s="39">
        <f t="shared" si="47"/>
        <v>1068360.1225479166</v>
      </c>
      <c r="DP44" s="243">
        <f t="shared" si="47"/>
        <v>1026913.2172571598</v>
      </c>
      <c r="DQ44" s="39">
        <f>DK44+Commerical!I44</f>
        <v>1867387.7928369916</v>
      </c>
      <c r="DR44" s="39">
        <f>DL44+Commerical!J44</f>
        <v>1717704.3769916147</v>
      </c>
      <c r="DS44" s="39">
        <f>DM44+Commerical!K44</f>
        <v>1775287.7273949734</v>
      </c>
      <c r="DT44" s="39">
        <f>DN44+Commerical!L44</f>
        <v>1917776.1053983336</v>
      </c>
      <c r="DU44" s="39">
        <f>DO44+Commerical!M44</f>
        <v>2025960.1225479166</v>
      </c>
      <c r="DV44" s="243">
        <f>DP44+Commerical!N44</f>
        <v>2091313.2172571598</v>
      </c>
      <c r="DW44" s="39"/>
      <c r="DX44" s="39"/>
      <c r="DY44" s="38"/>
      <c r="DZ44" s="38"/>
      <c r="EA44" s="546"/>
      <c r="EB44" s="38"/>
      <c r="ED44" s="38"/>
    </row>
    <row r="45" spans="1:134" ht="12.75">
      <c r="A45" s="88" t="s">
        <v>201</v>
      </c>
      <c r="B45" s="29">
        <f>Commerical!B45</f>
        <v>3.2909351342499997</v>
      </c>
      <c r="C45" s="41">
        <v>14516</v>
      </c>
      <c r="D45" s="41">
        <v>14048</v>
      </c>
      <c r="E45" s="397">
        <v>15160</v>
      </c>
      <c r="F45" s="397">
        <f>13367</f>
        <v>13367</v>
      </c>
      <c r="G45" s="495">
        <f>12320</f>
        <v>12320</v>
      </c>
      <c r="H45" s="401">
        <v>2582</v>
      </c>
      <c r="I45" s="205">
        <v>3105</v>
      </c>
      <c r="J45" s="401">
        <v>4088</v>
      </c>
      <c r="K45" s="401">
        <v>3104</v>
      </c>
      <c r="L45" s="495">
        <v>2828</v>
      </c>
      <c r="M45" s="401">
        <v>205</v>
      </c>
      <c r="N45" s="205">
        <v>141</v>
      </c>
      <c r="O45" s="400">
        <v>136</v>
      </c>
      <c r="P45" s="400">
        <v>165</v>
      </c>
      <c r="Q45" s="398">
        <v>890</v>
      </c>
      <c r="R45" s="271">
        <f>12131+2742+529</f>
        <v>15402</v>
      </c>
      <c r="S45" s="205">
        <v>19717</v>
      </c>
      <c r="T45" s="205">
        <v>17342</v>
      </c>
      <c r="U45" s="205">
        <v>10789</v>
      </c>
      <c r="V45" s="397">
        <v>7430</v>
      </c>
      <c r="W45" s="397">
        <v>9210</v>
      </c>
      <c r="X45" s="216">
        <v>11581</v>
      </c>
      <c r="Y45" s="205"/>
      <c r="Z45" s="205"/>
      <c r="AA45" s="205"/>
      <c r="AB45" s="205"/>
      <c r="AC45" s="38"/>
      <c r="AD45" s="41"/>
      <c r="AE45" s="616"/>
      <c r="AF45" s="205"/>
      <c r="AG45" s="205"/>
      <c r="AH45" s="205"/>
      <c r="AI45" s="205"/>
      <c r="AJ45" s="216"/>
      <c r="AK45" s="205"/>
      <c r="AL45" s="205"/>
      <c r="AM45" s="41"/>
      <c r="AN45" s="41"/>
      <c r="AO45" s="41"/>
      <c r="AP45" s="498"/>
      <c r="AQ45" s="39"/>
      <c r="AR45" s="39"/>
      <c r="AS45" s="205"/>
      <c r="AT45" s="205"/>
      <c r="AU45" s="205"/>
      <c r="AV45" s="235"/>
      <c r="AW45" s="41">
        <f t="shared" si="0"/>
        <v>37020</v>
      </c>
      <c r="AX45" s="41">
        <f t="shared" si="0"/>
        <v>34636</v>
      </c>
      <c r="AY45" s="41">
        <f t="shared" si="1"/>
        <v>30173</v>
      </c>
      <c r="AZ45" s="41">
        <f t="shared" si="41"/>
        <v>24066</v>
      </c>
      <c r="BA45" s="41">
        <f t="shared" si="41"/>
        <v>25248</v>
      </c>
      <c r="BB45" s="237">
        <f>(R45+X45+AD45+(AJ45/0.212)+(AP45/0.55)+(AV45/0.635))</f>
        <v>26983</v>
      </c>
      <c r="BC45" s="41">
        <f t="shared" si="42"/>
        <v>24799981.20031061</v>
      </c>
      <c r="BD45" s="41">
        <f>AX45*1000/0.45359237/$B45</f>
        <v>23202921.362883803</v>
      </c>
      <c r="BE45" s="41">
        <f t="shared" si="43"/>
        <v>20213123.521258026</v>
      </c>
      <c r="BF45" s="41">
        <f t="shared" si="43"/>
        <v>16121997.50315168</v>
      </c>
      <c r="BG45" s="41">
        <f t="shared" si="43"/>
        <v>16913828.34536581</v>
      </c>
      <c r="BH45" s="237">
        <f t="shared" si="43"/>
        <v>18076118.117989767</v>
      </c>
      <c r="BI45" s="41">
        <v>405</v>
      </c>
      <c r="BJ45" s="41">
        <v>689</v>
      </c>
      <c r="BK45" s="41">
        <v>459</v>
      </c>
      <c r="BL45" s="400">
        <v>38</v>
      </c>
      <c r="BM45" s="400">
        <v>104</v>
      </c>
      <c r="BN45" s="216">
        <v>144</v>
      </c>
      <c r="BO45" s="205"/>
      <c r="BP45" s="205"/>
      <c r="BQ45" s="205"/>
      <c r="BR45" s="205"/>
      <c r="BS45" s="205"/>
      <c r="BT45" s="216"/>
      <c r="BU45" s="205"/>
      <c r="BV45" s="205"/>
      <c r="BW45" s="205"/>
      <c r="BX45" s="205"/>
      <c r="BY45" s="205"/>
      <c r="BZ45" s="235"/>
      <c r="CA45" s="41"/>
      <c r="CB45" s="41"/>
      <c r="CC45" s="205"/>
      <c r="CD45" s="205"/>
      <c r="CE45" s="205"/>
      <c r="CF45" s="216"/>
      <c r="CG45" s="205"/>
      <c r="CH45" s="205"/>
      <c r="CI45" s="39"/>
      <c r="CJ45" s="41"/>
      <c r="CK45" s="41"/>
      <c r="CL45" s="498"/>
      <c r="CM45" s="39"/>
      <c r="CN45" s="39"/>
      <c r="CO45" s="39"/>
      <c r="CP45" s="205"/>
      <c r="CQ45" s="205"/>
      <c r="CR45" s="282"/>
      <c r="CS45" s="41">
        <f aca="true" t="shared" si="48" ref="CS45:CX45">(BI45+BO45+BU45+(CA45/0.212)+(CG45/0.55)+(CM45/0.635))</f>
        <v>405</v>
      </c>
      <c r="CT45" s="41">
        <f t="shared" si="48"/>
        <v>689</v>
      </c>
      <c r="CU45" s="41">
        <f t="shared" si="48"/>
        <v>459</v>
      </c>
      <c r="CV45" s="41">
        <f t="shared" si="48"/>
        <v>38</v>
      </c>
      <c r="CW45" s="41">
        <f t="shared" si="48"/>
        <v>104</v>
      </c>
      <c r="CX45" s="237">
        <f t="shared" si="48"/>
        <v>144</v>
      </c>
      <c r="CY45" s="41">
        <f aca="true" t="shared" si="49" ref="CY45:DD45">CS45*1000/0.45359237/$B45</f>
        <v>271312.59822057805</v>
      </c>
      <c r="CZ45" s="41">
        <f t="shared" si="49"/>
        <v>461566.3707999463</v>
      </c>
      <c r="DA45" s="41">
        <f t="shared" si="49"/>
        <v>307487.6113166551</v>
      </c>
      <c r="DB45" s="41">
        <f t="shared" si="49"/>
        <v>25456.49069723942</v>
      </c>
      <c r="DC45" s="41">
        <f t="shared" si="49"/>
        <v>69670.39559244472</v>
      </c>
      <c r="DD45" s="237">
        <f t="shared" si="49"/>
        <v>96466.70158953886</v>
      </c>
      <c r="DE45" s="39">
        <f t="shared" si="46"/>
        <v>36615</v>
      </c>
      <c r="DF45" s="39">
        <f t="shared" si="47"/>
        <v>33947</v>
      </c>
      <c r="DG45" s="39">
        <f t="shared" si="47"/>
        <v>29714</v>
      </c>
      <c r="DH45" s="39">
        <f t="shared" si="47"/>
        <v>24028</v>
      </c>
      <c r="DI45" s="39">
        <f t="shared" si="47"/>
        <v>25144</v>
      </c>
      <c r="DJ45" s="243">
        <f t="shared" si="47"/>
        <v>26839</v>
      </c>
      <c r="DK45" s="39">
        <f t="shared" si="47"/>
        <v>24528668.60209003</v>
      </c>
      <c r="DL45" s="39">
        <f t="shared" si="47"/>
        <v>22741354.992083855</v>
      </c>
      <c r="DM45" s="39">
        <f t="shared" si="47"/>
        <v>19905635.90994137</v>
      </c>
      <c r="DN45" s="39">
        <f t="shared" si="47"/>
        <v>16096541.01245444</v>
      </c>
      <c r="DO45" s="39">
        <f t="shared" si="47"/>
        <v>16844157.949773367</v>
      </c>
      <c r="DP45" s="243">
        <f t="shared" si="47"/>
        <v>17979651.416400228</v>
      </c>
      <c r="DQ45" s="39">
        <f>DK45+Commerical!I45</f>
        <v>28352809.609618004</v>
      </c>
      <c r="DR45" s="39">
        <f>DL45+Commerical!J45</f>
        <v>29308181.477080837</v>
      </c>
      <c r="DS45" s="39">
        <f>DM45+Commerical!K45</f>
        <v>23799969.732148644</v>
      </c>
      <c r="DT45" s="39">
        <f>DN45+Commerical!L45</f>
        <v>20350650.993017938</v>
      </c>
      <c r="DU45" s="39">
        <f>DO45+Commerical!M45</f>
        <v>19278724.318650134</v>
      </c>
      <c r="DV45" s="243">
        <f>DP45+Commerical!N45</f>
        <v>20167783.271402925</v>
      </c>
      <c r="DW45" s="39"/>
      <c r="DX45" s="39"/>
      <c r="DY45" s="38"/>
      <c r="DZ45" s="38"/>
      <c r="EA45" s="546"/>
      <c r="EB45" s="38"/>
      <c r="ED45" s="38"/>
    </row>
    <row r="46" spans="1:134" ht="12.75">
      <c r="A46" s="88" t="s">
        <v>202</v>
      </c>
      <c r="B46" s="29">
        <f>Commerical!B46</f>
        <v>2.1870993914639247</v>
      </c>
      <c r="C46" s="41">
        <v>7630</v>
      </c>
      <c r="D46" s="41">
        <v>12097</v>
      </c>
      <c r="E46" s="397">
        <v>9741</v>
      </c>
      <c r="F46" s="397">
        <f>9352</f>
        <v>9352</v>
      </c>
      <c r="G46" s="495">
        <f>8752</f>
        <v>8752</v>
      </c>
      <c r="H46" s="401">
        <v>1344</v>
      </c>
      <c r="I46" s="205">
        <v>2020</v>
      </c>
      <c r="J46" s="401">
        <v>2112</v>
      </c>
      <c r="K46" s="401">
        <v>3561</v>
      </c>
      <c r="L46" s="495">
        <v>7165</v>
      </c>
      <c r="M46" s="401"/>
      <c r="N46" s="205"/>
      <c r="O46" s="205"/>
      <c r="P46" s="205"/>
      <c r="Q46" s="205"/>
      <c r="R46" s="271">
        <v>7056</v>
      </c>
      <c r="S46" s="205"/>
      <c r="X46" s="216"/>
      <c r="Y46" s="205"/>
      <c r="Z46" s="205"/>
      <c r="AA46" s="205"/>
      <c r="AB46" s="205"/>
      <c r="AC46" s="38"/>
      <c r="AD46" s="41"/>
      <c r="AE46" s="616"/>
      <c r="AF46" s="205"/>
      <c r="AG46" s="205"/>
      <c r="AH46" s="205"/>
      <c r="AI46" s="205"/>
      <c r="AJ46" s="216"/>
      <c r="AK46" s="205"/>
      <c r="AL46" s="205"/>
      <c r="AM46" s="41"/>
      <c r="AN46" s="41"/>
      <c r="AO46" s="41"/>
      <c r="AP46" s="498"/>
      <c r="AQ46" s="39"/>
      <c r="AR46" s="39"/>
      <c r="AS46" s="205"/>
      <c r="AT46" s="205"/>
      <c r="AU46" s="205"/>
      <c r="AV46" s="235"/>
      <c r="AW46" s="41">
        <f t="shared" si="0"/>
        <v>8974</v>
      </c>
      <c r="AX46" s="41">
        <f t="shared" si="0"/>
        <v>14117</v>
      </c>
      <c r="AY46" s="41">
        <f t="shared" si="1"/>
        <v>11853</v>
      </c>
      <c r="AZ46" s="41">
        <f t="shared" si="41"/>
        <v>12913</v>
      </c>
      <c r="BA46" s="41">
        <f t="shared" si="41"/>
        <v>15917</v>
      </c>
      <c r="BB46" s="237">
        <f>(R46+X46+AD46+(AJ46/0.212)+(AP46/0.55)+(AV46/0.635))</f>
        <v>7056</v>
      </c>
      <c r="BC46" s="41">
        <f t="shared" si="42"/>
        <v>9045900.467846775</v>
      </c>
      <c r="BD46" s="41">
        <f>AX46*1000/0.45359237/$B46</f>
        <v>14230106.630777014</v>
      </c>
      <c r="BE46" s="41">
        <f t="shared" si="43"/>
        <v>11947967.266033856</v>
      </c>
      <c r="BF46" s="41">
        <f t="shared" si="43"/>
        <v>13016460.078148585</v>
      </c>
      <c r="BG46" s="41">
        <f t="shared" si="43"/>
        <v>16044528.387198253</v>
      </c>
      <c r="BH46" s="237">
        <f t="shared" si="43"/>
        <v>7112533.285171255</v>
      </c>
      <c r="BI46" s="41"/>
      <c r="BJ46" s="41"/>
      <c r="BK46" s="617"/>
      <c r="BL46" s="286"/>
      <c r="BM46" s="41"/>
      <c r="BN46" s="216"/>
      <c r="BO46" s="205"/>
      <c r="BP46" s="205"/>
      <c r="BQ46" s="205"/>
      <c r="BR46" s="205"/>
      <c r="BS46" s="205"/>
      <c r="BT46" s="216"/>
      <c r="BU46" s="205"/>
      <c r="BV46" s="205"/>
      <c r="BW46" s="205"/>
      <c r="BX46" s="205"/>
      <c r="BY46" s="205"/>
      <c r="BZ46" s="235"/>
      <c r="CA46" s="41"/>
      <c r="CB46" s="41"/>
      <c r="CC46" s="205"/>
      <c r="CD46" s="205"/>
      <c r="CE46" s="205"/>
      <c r="CF46" s="216"/>
      <c r="CG46" s="205"/>
      <c r="CH46" s="205"/>
      <c r="CI46" s="39"/>
      <c r="CJ46" s="41"/>
      <c r="CK46" s="41"/>
      <c r="CL46" s="498"/>
      <c r="CM46" s="39"/>
      <c r="CN46" s="39"/>
      <c r="CO46" s="39"/>
      <c r="CP46" s="205"/>
      <c r="CQ46" s="205"/>
      <c r="CR46" s="282"/>
      <c r="CS46" s="205"/>
      <c r="CT46" s="41"/>
      <c r="CU46" s="41"/>
      <c r="CV46" s="41"/>
      <c r="CW46" s="41"/>
      <c r="CX46" s="237"/>
      <c r="CY46" s="41"/>
      <c r="CZ46" s="41"/>
      <c r="DA46" s="39"/>
      <c r="DB46" s="41"/>
      <c r="DC46" s="41"/>
      <c r="DD46" s="237"/>
      <c r="DE46" s="39">
        <f t="shared" si="46"/>
        <v>8974</v>
      </c>
      <c r="DF46" s="39">
        <f t="shared" si="47"/>
        <v>14117</v>
      </c>
      <c r="DG46" s="39">
        <f t="shared" si="47"/>
        <v>11853</v>
      </c>
      <c r="DH46" s="39">
        <f t="shared" si="47"/>
        <v>12913</v>
      </c>
      <c r="DI46" s="39">
        <f t="shared" si="47"/>
        <v>15917</v>
      </c>
      <c r="DJ46" s="243">
        <f t="shared" si="47"/>
        <v>7056</v>
      </c>
      <c r="DK46" s="39">
        <f t="shared" si="47"/>
        <v>9045900.467846775</v>
      </c>
      <c r="DL46" s="39">
        <f t="shared" si="47"/>
        <v>14230106.630777014</v>
      </c>
      <c r="DM46" s="39">
        <f t="shared" si="47"/>
        <v>11947967.266033856</v>
      </c>
      <c r="DN46" s="39">
        <f t="shared" si="47"/>
        <v>13016460.078148585</v>
      </c>
      <c r="DO46" s="39">
        <f t="shared" si="47"/>
        <v>16044528.387198253</v>
      </c>
      <c r="DP46" s="243">
        <f t="shared" si="47"/>
        <v>7112533.285171255</v>
      </c>
      <c r="DQ46" s="39">
        <f>DK46+Commerical!I46</f>
        <v>236000378.13690037</v>
      </c>
      <c r="DR46" s="39">
        <f>DL46+Commerical!J46</f>
        <v>176669912.241166</v>
      </c>
      <c r="DS46" s="39">
        <f>DM46+Commerical!K46</f>
        <v>127654642.96064605</v>
      </c>
      <c r="DT46" s="39">
        <f>DN46+Commerical!L46</f>
        <v>255994900.87241805</v>
      </c>
      <c r="DU46" s="39">
        <f>DO46+Commerical!M46</f>
        <v>224168586.11249533</v>
      </c>
      <c r="DV46" s="243">
        <f>DP46+Commerical!N46</f>
        <v>267955274.23538744</v>
      </c>
      <c r="DW46" s="138"/>
      <c r="DX46" s="39"/>
      <c r="DY46" s="38"/>
      <c r="DZ46" s="38"/>
      <c r="EA46" s="546"/>
      <c r="EB46" s="38"/>
      <c r="ED46" s="38"/>
    </row>
    <row r="47" spans="1:134" ht="12.75">
      <c r="A47" s="88" t="s">
        <v>203</v>
      </c>
      <c r="B47" s="29">
        <f>Commerical!B47</f>
        <v>2.653466965</v>
      </c>
      <c r="C47" s="41"/>
      <c r="E47" s="398"/>
      <c r="F47" s="398"/>
      <c r="G47" s="494"/>
      <c r="H47" s="401"/>
      <c r="I47" s="205"/>
      <c r="J47" s="205"/>
      <c r="K47" s="205"/>
      <c r="L47" s="216"/>
      <c r="M47" s="205"/>
      <c r="N47" s="205"/>
      <c r="O47" s="205"/>
      <c r="P47" s="205"/>
      <c r="Q47" s="205"/>
      <c r="R47" s="271"/>
      <c r="S47" s="205"/>
      <c r="T47" s="205"/>
      <c r="U47" s="205"/>
      <c r="V47" s="205"/>
      <c r="W47" s="205"/>
      <c r="X47" s="216"/>
      <c r="Y47" s="205"/>
      <c r="Z47" s="205"/>
      <c r="AA47" s="205"/>
      <c r="AB47" s="205"/>
      <c r="AC47" s="38"/>
      <c r="AD47" s="41"/>
      <c r="AE47" s="616"/>
      <c r="AF47" s="205"/>
      <c r="AG47" s="205"/>
      <c r="AH47" s="205"/>
      <c r="AI47" s="205"/>
      <c r="AJ47" s="216"/>
      <c r="AK47" s="205"/>
      <c r="AL47" s="205"/>
      <c r="AM47" s="41"/>
      <c r="AN47" s="41"/>
      <c r="AO47" s="41"/>
      <c r="AP47" s="498"/>
      <c r="AQ47" s="39"/>
      <c r="AR47" s="39"/>
      <c r="AS47" s="205"/>
      <c r="AT47" s="205"/>
      <c r="AU47" s="205"/>
      <c r="AV47" s="235"/>
      <c r="AW47" s="41"/>
      <c r="AX47" s="41"/>
      <c r="AY47" s="41"/>
      <c r="AZ47" s="41"/>
      <c r="BA47" s="41"/>
      <c r="BB47" s="237"/>
      <c r="BC47" s="41"/>
      <c r="BD47" s="41"/>
      <c r="BE47" s="210"/>
      <c r="BF47" s="41"/>
      <c r="BG47" s="41"/>
      <c r="BH47" s="224"/>
      <c r="BI47" s="210"/>
      <c r="BJ47" s="210"/>
      <c r="BK47" s="41"/>
      <c r="BL47" s="286"/>
      <c r="BM47" s="41"/>
      <c r="BN47" s="216"/>
      <c r="BO47" s="205"/>
      <c r="BP47" s="205"/>
      <c r="BQ47" s="205"/>
      <c r="BR47" s="205"/>
      <c r="BS47" s="205"/>
      <c r="BT47" s="216"/>
      <c r="BU47" s="205"/>
      <c r="BV47" s="205"/>
      <c r="BW47" s="205"/>
      <c r="BX47" s="205"/>
      <c r="BY47" s="205"/>
      <c r="BZ47" s="235"/>
      <c r="CA47" s="41"/>
      <c r="CB47" s="41"/>
      <c r="CC47" s="205"/>
      <c r="CD47" s="205"/>
      <c r="CE47" s="205"/>
      <c r="CF47" s="216"/>
      <c r="CG47" s="205"/>
      <c r="CH47" s="205"/>
      <c r="CI47" s="39"/>
      <c r="CJ47" s="41"/>
      <c r="CK47" s="41"/>
      <c r="CL47" s="498"/>
      <c r="CM47" s="39"/>
      <c r="CN47" s="39"/>
      <c r="CO47" s="39"/>
      <c r="CP47" s="205"/>
      <c r="CQ47" s="205"/>
      <c r="CR47" s="282"/>
      <c r="CS47" s="205"/>
      <c r="CT47" s="41"/>
      <c r="CU47" s="41"/>
      <c r="CV47" s="41"/>
      <c r="CW47" s="41"/>
      <c r="CX47" s="237"/>
      <c r="CY47" s="41"/>
      <c r="CZ47" s="41"/>
      <c r="DA47" s="39"/>
      <c r="DB47" s="41"/>
      <c r="DC47" s="41"/>
      <c r="DD47" s="224"/>
      <c r="DE47" s="39"/>
      <c r="DF47" s="39"/>
      <c r="DG47" s="39"/>
      <c r="DH47" s="39"/>
      <c r="DI47" s="39"/>
      <c r="DJ47" s="243"/>
      <c r="DK47" s="39"/>
      <c r="DL47" s="39"/>
      <c r="DM47" s="39"/>
      <c r="DN47" s="39"/>
      <c r="DO47" s="39"/>
      <c r="DP47" s="243"/>
      <c r="DQ47" s="39">
        <f>DK47+Commerical!I47</f>
        <v>494070.59416697884</v>
      </c>
      <c r="DR47" s="39">
        <f>DL47+Commerical!J47</f>
        <v>499723.5757936033</v>
      </c>
      <c r="DS47" s="39">
        <f>DM47+Commerical!K47</f>
        <v>509522.0772797524</v>
      </c>
      <c r="DT47" s="39">
        <f>DN47+Commerical!L47</f>
        <v>488040.7470985794</v>
      </c>
      <c r="DU47" s="39">
        <f>DO47+Commerical!M47</f>
        <v>425104.2183221603</v>
      </c>
      <c r="DV47" s="243">
        <f>DP47+Commerical!N47</f>
        <v>376111.7108914149</v>
      </c>
      <c r="DW47" s="138"/>
      <c r="DX47" s="39"/>
      <c r="DY47" s="38"/>
      <c r="DZ47" s="38"/>
      <c r="EA47" s="546"/>
      <c r="EB47" s="38"/>
      <c r="ED47" s="38"/>
    </row>
    <row r="48" spans="1:134" ht="12.75">
      <c r="A48" s="88" t="s">
        <v>204</v>
      </c>
      <c r="B48" s="29">
        <f>Commerical!B48</f>
        <v>2.2869105534974388</v>
      </c>
      <c r="C48" s="41"/>
      <c r="E48" s="398"/>
      <c r="F48" s="398"/>
      <c r="G48" s="495"/>
      <c r="H48" s="401"/>
      <c r="I48" s="205"/>
      <c r="J48" s="205"/>
      <c r="K48" s="205"/>
      <c r="L48" s="216"/>
      <c r="M48" s="205"/>
      <c r="N48" s="205"/>
      <c r="O48" s="205"/>
      <c r="P48" s="205"/>
      <c r="Q48" s="205"/>
      <c r="R48" s="271">
        <v>4462</v>
      </c>
      <c r="S48" s="205"/>
      <c r="T48" s="205"/>
      <c r="U48" s="205"/>
      <c r="V48" s="205"/>
      <c r="W48" s="205"/>
      <c r="X48" s="216"/>
      <c r="Y48" s="205"/>
      <c r="Z48" s="205"/>
      <c r="AA48" s="205"/>
      <c r="AB48" s="205"/>
      <c r="AC48" s="38"/>
      <c r="AD48" s="41"/>
      <c r="AE48" s="616"/>
      <c r="AF48" s="205"/>
      <c r="AG48" s="205"/>
      <c r="AH48" s="205"/>
      <c r="AI48" s="205"/>
      <c r="AJ48" s="216"/>
      <c r="AK48" s="205"/>
      <c r="AL48" s="205"/>
      <c r="AM48" s="41"/>
      <c r="AN48" s="41"/>
      <c r="AO48" s="41"/>
      <c r="AP48" s="498"/>
      <c r="AQ48" s="39"/>
      <c r="AR48" s="39"/>
      <c r="AS48" s="205"/>
      <c r="AT48" s="205"/>
      <c r="AU48" s="205"/>
      <c r="AV48" s="235"/>
      <c r="AW48" s="41">
        <f t="shared" si="0"/>
        <v>0</v>
      </c>
      <c r="AX48" s="41">
        <f t="shared" si="0"/>
        <v>0</v>
      </c>
      <c r="AY48" s="41">
        <f t="shared" si="1"/>
        <v>0</v>
      </c>
      <c r="AZ48" s="41">
        <f>(F48+K48+P48+V48+AB48+(AH48/0.212)+(AN48/0.55)+(AT48/0.635))</f>
        <v>0</v>
      </c>
      <c r="BA48" s="41">
        <f>(G48+L48+Q48+W48+AC48+(AI48/0.212)+(AO48/0.55)+(AU48/0.635))</f>
        <v>0</v>
      </c>
      <c r="BB48" s="237">
        <f>(R48+X48+AD48+(AJ48/0.212)+(AP48/0.55)+(AV48/0.635))</f>
        <v>4462</v>
      </c>
      <c r="BC48" s="41">
        <f t="shared" si="42"/>
        <v>0</v>
      </c>
      <c r="BD48" s="41">
        <f>AX48*1000/0.45359237/$B48</f>
        <v>0</v>
      </c>
      <c r="BE48" s="41">
        <f>AY48*1000/0.45359237/$B48</f>
        <v>0</v>
      </c>
      <c r="BF48" s="41">
        <f>AZ48*1000/0.45359237/$B48</f>
        <v>0</v>
      </c>
      <c r="BG48" s="41">
        <f>BA48*1000/0.45359237/$B48</f>
        <v>0</v>
      </c>
      <c r="BH48" s="237">
        <f>BB48*1000/0.45359237/$B48</f>
        <v>4301447.699231256</v>
      </c>
      <c r="BI48" s="41"/>
      <c r="BJ48" s="41"/>
      <c r="BK48" s="41"/>
      <c r="BL48" s="286"/>
      <c r="BM48" s="41"/>
      <c r="BN48" s="216"/>
      <c r="BO48" s="205"/>
      <c r="BP48" s="205"/>
      <c r="BQ48" s="205"/>
      <c r="BR48" s="205"/>
      <c r="BS48" s="205"/>
      <c r="BT48" s="216"/>
      <c r="BU48" s="205"/>
      <c r="BV48" s="205"/>
      <c r="BW48" s="205"/>
      <c r="BX48" s="205"/>
      <c r="BY48" s="205"/>
      <c r="BZ48" s="235"/>
      <c r="CA48" s="41"/>
      <c r="CB48" s="41"/>
      <c r="CC48" s="205"/>
      <c r="CD48" s="205"/>
      <c r="CE48" s="205"/>
      <c r="CF48" s="216"/>
      <c r="CG48" s="205"/>
      <c r="CH48" s="205"/>
      <c r="CI48" s="39"/>
      <c r="CJ48" s="41"/>
      <c r="CK48" s="41"/>
      <c r="CL48" s="498"/>
      <c r="CM48" s="39"/>
      <c r="CN48" s="39"/>
      <c r="CO48" s="39"/>
      <c r="CP48" s="205"/>
      <c r="CQ48" s="205"/>
      <c r="CR48" s="282"/>
      <c r="CS48" s="205"/>
      <c r="CT48" s="41"/>
      <c r="CU48" s="41"/>
      <c r="CV48" s="41"/>
      <c r="CW48" s="41"/>
      <c r="CX48" s="237"/>
      <c r="CY48" s="41"/>
      <c r="CZ48" s="41"/>
      <c r="DA48" s="39"/>
      <c r="DB48" s="41"/>
      <c r="DC48" s="41"/>
      <c r="DD48" s="237"/>
      <c r="DE48" s="39">
        <f t="shared" si="46"/>
        <v>0</v>
      </c>
      <c r="DF48" s="39">
        <f aca="true" t="shared" si="50" ref="DF48:DP48">AX48-CT48</f>
        <v>0</v>
      </c>
      <c r="DG48" s="39">
        <f t="shared" si="50"/>
        <v>0</v>
      </c>
      <c r="DH48" s="39">
        <f t="shared" si="50"/>
        <v>0</v>
      </c>
      <c r="DI48" s="39">
        <f t="shared" si="50"/>
        <v>0</v>
      </c>
      <c r="DJ48" s="243">
        <f t="shared" si="50"/>
        <v>4462</v>
      </c>
      <c r="DK48" s="39">
        <f t="shared" si="50"/>
        <v>0</v>
      </c>
      <c r="DL48" s="39">
        <f t="shared" si="50"/>
        <v>0</v>
      </c>
      <c r="DM48" s="39">
        <f t="shared" si="50"/>
        <v>0</v>
      </c>
      <c r="DN48" s="39">
        <f t="shared" si="50"/>
        <v>0</v>
      </c>
      <c r="DO48" s="39">
        <f t="shared" si="50"/>
        <v>0</v>
      </c>
      <c r="DP48" s="243">
        <f t="shared" si="50"/>
        <v>4301447.699231256</v>
      </c>
      <c r="DQ48" s="39">
        <f>DK48+Commerical!I48</f>
        <v>7490892.013157692</v>
      </c>
      <c r="DR48" s="39">
        <f>DL48+Commerical!J48</f>
        <v>7680230.419654527</v>
      </c>
      <c r="DS48" s="39">
        <f>DM48+Commerical!K48</f>
        <v>7490892.013157692</v>
      </c>
      <c r="DT48" s="39">
        <f>DN48+Commerical!L48</f>
        <v>6054019.025285637</v>
      </c>
      <c r="DU48" s="39">
        <f>DO48+Commerical!M48</f>
        <v>6141035.983467785</v>
      </c>
      <c r="DV48" s="243">
        <f>DP48+Commerical!N48</f>
        <v>9671574.651165739</v>
      </c>
      <c r="DW48" s="138"/>
      <c r="DX48" s="39"/>
      <c r="DY48" s="38"/>
      <c r="DZ48" s="38"/>
      <c r="EA48" s="546"/>
      <c r="EB48" s="38"/>
      <c r="EC48" s="38"/>
      <c r="ED48" s="38"/>
    </row>
    <row r="49" spans="1:134" ht="12.75">
      <c r="A49" s="88" t="s">
        <v>205</v>
      </c>
      <c r="B49" s="29">
        <f>Commerical!B49</f>
        <v>7.3163476685874</v>
      </c>
      <c r="C49" s="41"/>
      <c r="E49" s="398"/>
      <c r="F49" s="398"/>
      <c r="G49" s="495"/>
      <c r="H49" s="401"/>
      <c r="I49" s="205"/>
      <c r="J49" s="205"/>
      <c r="K49" s="205"/>
      <c r="L49" s="216"/>
      <c r="M49" s="205"/>
      <c r="N49" s="205"/>
      <c r="O49" s="205"/>
      <c r="P49" s="205"/>
      <c r="Q49" s="205"/>
      <c r="R49" s="271"/>
      <c r="S49" s="205"/>
      <c r="T49" s="205"/>
      <c r="U49" s="205"/>
      <c r="V49" s="205"/>
      <c r="W49" s="205"/>
      <c r="X49" s="216"/>
      <c r="Y49" s="205"/>
      <c r="Z49" s="205"/>
      <c r="AA49" s="205"/>
      <c r="AB49" s="205"/>
      <c r="AC49" s="38"/>
      <c r="AD49" s="41"/>
      <c r="AE49" s="616"/>
      <c r="AF49" s="205"/>
      <c r="AG49" s="205"/>
      <c r="AH49" s="205"/>
      <c r="AI49" s="205"/>
      <c r="AJ49" s="216"/>
      <c r="AK49" s="205"/>
      <c r="AL49" s="205"/>
      <c r="AM49" s="41"/>
      <c r="AN49" s="41"/>
      <c r="AO49" s="41"/>
      <c r="AP49" s="498"/>
      <c r="AQ49" s="39"/>
      <c r="AR49" s="39"/>
      <c r="AS49" s="205"/>
      <c r="AT49" s="205"/>
      <c r="AU49" s="205"/>
      <c r="AV49" s="235"/>
      <c r="AW49" s="41"/>
      <c r="AX49" s="41"/>
      <c r="AY49" s="41"/>
      <c r="AZ49" s="41"/>
      <c r="BA49" s="41"/>
      <c r="BB49" s="237"/>
      <c r="BC49" s="41"/>
      <c r="BD49" s="41"/>
      <c r="BE49" s="210"/>
      <c r="BF49" s="41"/>
      <c r="BG49" s="41"/>
      <c r="BH49" s="224"/>
      <c r="BI49" s="210"/>
      <c r="BJ49" s="210"/>
      <c r="BK49" s="41"/>
      <c r="BL49" s="286"/>
      <c r="BM49" s="41"/>
      <c r="BN49" s="216"/>
      <c r="BO49" s="205"/>
      <c r="BP49" s="205"/>
      <c r="BQ49" s="205"/>
      <c r="BR49" s="205"/>
      <c r="BS49" s="205"/>
      <c r="BT49" s="216"/>
      <c r="BU49" s="205"/>
      <c r="BV49" s="205"/>
      <c r="BW49" s="205"/>
      <c r="BX49" s="205"/>
      <c r="BY49" s="205"/>
      <c r="BZ49" s="235"/>
      <c r="CA49" s="41"/>
      <c r="CB49" s="41"/>
      <c r="CC49" s="205"/>
      <c r="CD49" s="205"/>
      <c r="CE49" s="205"/>
      <c r="CF49" s="216"/>
      <c r="CG49" s="205"/>
      <c r="CH49" s="205"/>
      <c r="CI49" s="39"/>
      <c r="CJ49" s="41"/>
      <c r="CK49" s="41"/>
      <c r="CL49" s="498"/>
      <c r="CM49" s="39"/>
      <c r="CN49" s="39"/>
      <c r="CO49" s="39"/>
      <c r="CP49" s="205"/>
      <c r="CQ49" s="205"/>
      <c r="CR49" s="282"/>
      <c r="CS49" s="205"/>
      <c r="CT49" s="41"/>
      <c r="CU49" s="41"/>
      <c r="CV49" s="41"/>
      <c r="CW49" s="41"/>
      <c r="CX49" s="237"/>
      <c r="CY49" s="41"/>
      <c r="CZ49" s="41"/>
      <c r="DA49" s="39"/>
      <c r="DB49" s="41"/>
      <c r="DC49" s="41"/>
      <c r="DD49" s="224"/>
      <c r="DE49" s="39"/>
      <c r="DF49" s="39"/>
      <c r="DG49" s="39"/>
      <c r="DH49" s="39"/>
      <c r="DI49" s="39"/>
      <c r="DJ49" s="243"/>
      <c r="DK49" s="39"/>
      <c r="DL49" s="39"/>
      <c r="DM49" s="39"/>
      <c r="DN49" s="39"/>
      <c r="DO49" s="39"/>
      <c r="DP49" s="243"/>
      <c r="DQ49" s="39">
        <f>DK49+Commerical!I49</f>
        <v>879127.1671814709</v>
      </c>
      <c r="DR49" s="39">
        <f>DL49+Commerical!J49</f>
        <v>562439.1002723497</v>
      </c>
      <c r="DS49" s="39">
        <f>DM49+Commerical!K49</f>
        <v>534556.335641594</v>
      </c>
      <c r="DT49" s="39">
        <f>DN49+Commerical!L49</f>
        <v>411954.17939753627</v>
      </c>
      <c r="DU49" s="39">
        <f>DO49+Commerical!M49</f>
        <v>462389.1801266971</v>
      </c>
      <c r="DV49" s="243">
        <f>DP49+Commerical!N49</f>
        <v>514737.703918753</v>
      </c>
      <c r="DW49" s="138"/>
      <c r="DX49" s="39"/>
      <c r="DY49" s="38"/>
      <c r="DZ49" s="38"/>
      <c r="EA49" s="546"/>
      <c r="EB49" s="38"/>
      <c r="EC49" s="38"/>
      <c r="ED49" s="38"/>
    </row>
    <row r="50" spans="1:134" ht="12.75">
      <c r="A50" s="88" t="s">
        <v>655</v>
      </c>
      <c r="B50" s="29">
        <f>SUM(Commerical!C46:H49)*1000/SUM(Commerical!I46:N49)</f>
        <v>2.2049701344819197</v>
      </c>
      <c r="C50" s="41"/>
      <c r="E50" s="398"/>
      <c r="F50" s="398"/>
      <c r="G50" s="494"/>
      <c r="H50" s="401"/>
      <c r="I50" s="205"/>
      <c r="J50" s="205"/>
      <c r="K50" s="205"/>
      <c r="L50" s="216"/>
      <c r="M50" s="205"/>
      <c r="N50" s="205"/>
      <c r="O50" s="205"/>
      <c r="P50" s="205"/>
      <c r="Q50" s="205"/>
      <c r="R50" s="271">
        <v>6255</v>
      </c>
      <c r="S50" s="205">
        <v>2017</v>
      </c>
      <c r="T50" s="205">
        <v>1409</v>
      </c>
      <c r="U50" s="205">
        <v>2479</v>
      </c>
      <c r="V50" s="397">
        <v>3688</v>
      </c>
      <c r="W50" s="397">
        <v>3470</v>
      </c>
      <c r="X50" s="216">
        <v>4625</v>
      </c>
      <c r="Y50" s="205"/>
      <c r="Z50" s="205"/>
      <c r="AA50" s="205"/>
      <c r="AB50" s="205"/>
      <c r="AC50" s="38"/>
      <c r="AD50" s="41"/>
      <c r="AE50" s="616"/>
      <c r="AF50" s="205"/>
      <c r="AG50" s="205"/>
      <c r="AH50" s="205"/>
      <c r="AI50" s="205"/>
      <c r="AJ50" s="216"/>
      <c r="AK50" s="205">
        <v>90</v>
      </c>
      <c r="AL50" s="205">
        <v>70</v>
      </c>
      <c r="AM50" s="400">
        <v>80</v>
      </c>
      <c r="AN50" s="400">
        <v>147</v>
      </c>
      <c r="AO50" s="400">
        <v>193</v>
      </c>
      <c r="AP50" s="498">
        <v>301</v>
      </c>
      <c r="AQ50" s="39"/>
      <c r="AR50" s="39"/>
      <c r="AS50" s="205"/>
      <c r="AT50" s="205"/>
      <c r="AU50" s="205"/>
      <c r="AV50" s="235"/>
      <c r="AW50" s="41">
        <f t="shared" si="0"/>
        <v>2180.6363636363635</v>
      </c>
      <c r="AX50" s="41">
        <f t="shared" si="0"/>
        <v>1536.2727272727273</v>
      </c>
      <c r="AY50" s="41">
        <f t="shared" si="1"/>
        <v>2624.4545454545455</v>
      </c>
      <c r="AZ50" s="41">
        <f>(F50+K50+P50+V50+AB50+(AH50/0.212)+(AN50/0.55)+(AT50/0.635))</f>
        <v>3955.272727272727</v>
      </c>
      <c r="BA50" s="41">
        <f>(G50+L50+Q50+W50+AC50+(AI50/0.212)+(AO50/0.55)+(AU50/0.635))</f>
        <v>3820.909090909091</v>
      </c>
      <c r="BB50" s="237">
        <f>(R50+X50+AD50+(AJ50/0.212)+(AP50/0.55)+(AV50/0.635))</f>
        <v>11427.272727272728</v>
      </c>
      <c r="BC50" s="41">
        <f t="shared" si="42"/>
        <v>2180292.686108579</v>
      </c>
      <c r="BD50" s="41">
        <f>AX50*1000/0.45359237/$B50</f>
        <v>1536030.6041834697</v>
      </c>
      <c r="BE50" s="41">
        <f>AY50*1000/0.45359237/$B50</f>
        <v>2624040.9203013536</v>
      </c>
      <c r="BF50" s="41">
        <f>AZ50*1000/0.45359237/$B50</f>
        <v>3954649.3595369183</v>
      </c>
      <c r="BG50" s="41">
        <f>BA50*1000/0.45359237/$B50</f>
        <v>3820306.8994515194</v>
      </c>
      <c r="BH50" s="237">
        <f>BB50*1000/0.45359237/$B50</f>
        <v>11425471.740686558</v>
      </c>
      <c r="BI50" s="41">
        <v>63816</v>
      </c>
      <c r="BJ50" s="41">
        <v>40736</v>
      </c>
      <c r="BK50" s="41">
        <v>35714</v>
      </c>
      <c r="BL50" s="401">
        <v>38969</v>
      </c>
      <c r="BM50" s="401">
        <v>62127</v>
      </c>
      <c r="BN50" s="216">
        <v>59416</v>
      </c>
      <c r="BO50" s="205"/>
      <c r="BP50" s="205"/>
      <c r="BQ50" s="205"/>
      <c r="BR50" s="205"/>
      <c r="BS50" s="205"/>
      <c r="BT50" s="216"/>
      <c r="BU50" s="205"/>
      <c r="BV50" s="205"/>
      <c r="BW50" s="205"/>
      <c r="BX50" s="205"/>
      <c r="BY50" s="205"/>
      <c r="BZ50" s="235"/>
      <c r="CA50" s="41"/>
      <c r="CB50" s="41"/>
      <c r="CC50" s="205"/>
      <c r="CD50" s="205"/>
      <c r="CE50" s="205"/>
      <c r="CF50" s="216"/>
      <c r="CG50" s="205"/>
      <c r="CH50" s="205"/>
      <c r="CI50" s="39"/>
      <c r="CJ50" s="41"/>
      <c r="CK50" s="41"/>
      <c r="CL50" s="498"/>
      <c r="CM50" s="39"/>
      <c r="CN50" s="39"/>
      <c r="CO50" s="39"/>
      <c r="CP50" s="205"/>
      <c r="CQ50" s="205"/>
      <c r="CR50" s="282"/>
      <c r="CS50" s="41">
        <f aca="true" t="shared" si="51" ref="CS50:CX52">(BI50+BO50+BU50+(CA50/0.212)+(CG50/0.55)+(CM50/0.635))</f>
        <v>63816</v>
      </c>
      <c r="CT50" s="41">
        <f t="shared" si="51"/>
        <v>40736</v>
      </c>
      <c r="CU50" s="41">
        <f t="shared" si="51"/>
        <v>35714</v>
      </c>
      <c r="CV50" s="41">
        <f t="shared" si="51"/>
        <v>38969</v>
      </c>
      <c r="CW50" s="41">
        <f t="shared" si="51"/>
        <v>62127</v>
      </c>
      <c r="CX50" s="237">
        <f t="shared" si="51"/>
        <v>59416</v>
      </c>
      <c r="CY50" s="41">
        <f aca="true" t="shared" si="52" ref="CY50:CZ52">CS50*1000/0.45359237/$B50</f>
        <v>63805942.32808422</v>
      </c>
      <c r="CZ50" s="41">
        <f t="shared" si="52"/>
        <v>40729579.83384792</v>
      </c>
      <c r="DA50" s="41">
        <f aca="true" t="shared" si="53" ref="DA50:DD52">CU50*1000/0.45359237/$B50</f>
        <v>35708371.32232042</v>
      </c>
      <c r="DB50" s="41">
        <f t="shared" si="53"/>
        <v>38962858.32053269</v>
      </c>
      <c r="DC50" s="41">
        <f t="shared" si="53"/>
        <v>62117208.52163859</v>
      </c>
      <c r="DD50" s="237">
        <f t="shared" si="53"/>
        <v>59406635.78672201</v>
      </c>
      <c r="DE50" s="39">
        <f t="shared" si="46"/>
        <v>-61635.36363636364</v>
      </c>
      <c r="DF50" s="39">
        <f aca="true" t="shared" si="54" ref="DF50:DP52">AX50-CT50</f>
        <v>-39199.72727272727</v>
      </c>
      <c r="DG50" s="39">
        <f t="shared" si="54"/>
        <v>-33089.545454545456</v>
      </c>
      <c r="DH50" s="39">
        <f t="shared" si="54"/>
        <v>-35013.72727272727</v>
      </c>
      <c r="DI50" s="39">
        <f t="shared" si="54"/>
        <v>-58306.09090909091</v>
      </c>
      <c r="DJ50" s="243">
        <f t="shared" si="54"/>
        <v>-47988.72727272727</v>
      </c>
      <c r="DK50" s="39">
        <f t="shared" si="54"/>
        <v>-61625649.64197564</v>
      </c>
      <c r="DL50" s="39">
        <f t="shared" si="54"/>
        <v>-39193549.229664445</v>
      </c>
      <c r="DM50" s="39">
        <f t="shared" si="54"/>
        <v>-33084330.40201906</v>
      </c>
      <c r="DN50" s="39">
        <f t="shared" si="54"/>
        <v>-35008208.96099577</v>
      </c>
      <c r="DO50" s="39">
        <f t="shared" si="54"/>
        <v>-58296901.62218707</v>
      </c>
      <c r="DP50" s="243">
        <f t="shared" si="54"/>
        <v>-47981164.04603545</v>
      </c>
      <c r="DQ50" s="39">
        <f>DK50+Commerical!I50</f>
        <v>-61625649.64197564</v>
      </c>
      <c r="DR50" s="39">
        <f>DL50+Commerical!J50</f>
        <v>-39193549.229664445</v>
      </c>
      <c r="DS50" s="39">
        <f>DM50+Commerical!K50</f>
        <v>-33084330.40201906</v>
      </c>
      <c r="DT50" s="39">
        <f>DN50+Commerical!L50</f>
        <v>-35008208.96099577</v>
      </c>
      <c r="DU50" s="39">
        <f>DO50+Commerical!M50</f>
        <v>-58296901.62218707</v>
      </c>
      <c r="DV50" s="243">
        <f>DP50+Commerical!N50</f>
        <v>-47981164.04603545</v>
      </c>
      <c r="DW50" s="138"/>
      <c r="DX50" s="39"/>
      <c r="DY50" s="39"/>
      <c r="DZ50" s="38"/>
      <c r="EA50" s="547"/>
      <c r="EB50" s="39"/>
      <c r="EC50" s="38"/>
      <c r="ED50" s="38"/>
    </row>
    <row r="51" spans="1:134" ht="12.75">
      <c r="A51" s="88" t="s">
        <v>206</v>
      </c>
      <c r="B51" s="29">
        <f>Commerical!B51</f>
        <v>29.5</v>
      </c>
      <c r="C51" s="41">
        <v>4965</v>
      </c>
      <c r="D51" s="41">
        <v>5346</v>
      </c>
      <c r="E51" s="397">
        <v>4728</v>
      </c>
      <c r="F51" s="397">
        <f>6026</f>
        <v>6026</v>
      </c>
      <c r="G51" s="495">
        <f>5758</f>
        <v>5758</v>
      </c>
      <c r="H51" s="401">
        <v>98</v>
      </c>
      <c r="I51" s="205">
        <v>25</v>
      </c>
      <c r="J51" s="400">
        <v>54</v>
      </c>
      <c r="K51" s="400">
        <v>135</v>
      </c>
      <c r="L51" s="494">
        <v>387</v>
      </c>
      <c r="M51" s="401"/>
      <c r="N51" s="41"/>
      <c r="O51" s="41"/>
      <c r="P51" s="41"/>
      <c r="Q51" s="41"/>
      <c r="R51" s="272">
        <f>6255+76</f>
        <v>6331</v>
      </c>
      <c r="S51" s="41">
        <v>803</v>
      </c>
      <c r="T51" s="205">
        <v>862</v>
      </c>
      <c r="U51" s="205">
        <v>742</v>
      </c>
      <c r="V51" s="398">
        <v>810</v>
      </c>
      <c r="W51" s="397">
        <v>1380</v>
      </c>
      <c r="X51" s="235">
        <v>1681</v>
      </c>
      <c r="Y51" s="41"/>
      <c r="Z51" s="41"/>
      <c r="AA51" s="41"/>
      <c r="AB51" s="41"/>
      <c r="AC51" s="38"/>
      <c r="AD51" s="41"/>
      <c r="AE51" s="616"/>
      <c r="AF51" s="41"/>
      <c r="AG51" s="41"/>
      <c r="AH51" s="41"/>
      <c r="AI51" s="41"/>
      <c r="AJ51" s="235"/>
      <c r="AK51" s="41"/>
      <c r="AL51" s="41"/>
      <c r="AM51" s="41"/>
      <c r="AN51" s="41"/>
      <c r="AO51" s="41"/>
      <c r="AP51" s="498"/>
      <c r="AQ51" s="39"/>
      <c r="AR51" s="39"/>
      <c r="AS51" s="41"/>
      <c r="AT51" s="41"/>
      <c r="AU51" s="41"/>
      <c r="AV51" s="235"/>
      <c r="AW51" s="41">
        <f t="shared" si="0"/>
        <v>5866</v>
      </c>
      <c r="AX51" s="41">
        <f t="shared" si="0"/>
        <v>6233</v>
      </c>
      <c r="AY51" s="41">
        <f t="shared" si="1"/>
        <v>5524</v>
      </c>
      <c r="AZ51" s="41">
        <f>(F51+K51+P51+V51+AB51+(AH51/0.212)+(AN51/0.55)+(AT51/0.635))</f>
        <v>6971</v>
      </c>
      <c r="BA51" s="41">
        <f>(G51+L51+Q51+W51+AC51+(AI51/0.212)+(AO51/0.55)+(AU51/0.635))</f>
        <v>7525</v>
      </c>
      <c r="BB51" s="237">
        <f>(R51+X51+AD51+(AJ51/0.212)+(AP51/0.55)+(AV51/0.635))</f>
        <v>8012</v>
      </c>
      <c r="BC51" s="41"/>
      <c r="BD51" s="41"/>
      <c r="BE51" s="210"/>
      <c r="BF51" s="41"/>
      <c r="BG51" s="41"/>
      <c r="BH51" s="224"/>
      <c r="BI51" s="210"/>
      <c r="BJ51" s="210"/>
      <c r="BK51" s="41"/>
      <c r="BL51" s="286"/>
      <c r="BM51" s="41"/>
      <c r="BN51" s="235">
        <v>9696</v>
      </c>
      <c r="BO51" s="41">
        <v>1649</v>
      </c>
      <c r="BP51" s="205">
        <v>1265</v>
      </c>
      <c r="BQ51" s="205">
        <v>1036</v>
      </c>
      <c r="BR51" s="400">
        <v>751</v>
      </c>
      <c r="BS51" s="401">
        <v>1013</v>
      </c>
      <c r="BT51" s="235">
        <v>1066</v>
      </c>
      <c r="BU51" s="41"/>
      <c r="BV51" s="41"/>
      <c r="BW51" s="41"/>
      <c r="BX51" s="41"/>
      <c r="BY51" s="41"/>
      <c r="BZ51" s="235"/>
      <c r="CA51" s="41"/>
      <c r="CB51" s="41"/>
      <c r="CC51" s="41"/>
      <c r="CD51" s="205"/>
      <c r="CE51" s="41"/>
      <c r="CF51" s="216"/>
      <c r="CG51" s="205"/>
      <c r="CH51" s="205"/>
      <c r="CI51" s="39"/>
      <c r="CJ51" s="41"/>
      <c r="CK51" s="41"/>
      <c r="CL51" s="498"/>
      <c r="CM51" s="39"/>
      <c r="CN51" s="39"/>
      <c r="CO51" s="39"/>
      <c r="CP51" s="41"/>
      <c r="CQ51" s="41"/>
      <c r="CR51" s="237"/>
      <c r="CS51" s="41">
        <f t="shared" si="51"/>
        <v>1649</v>
      </c>
      <c r="CT51" s="41">
        <f t="shared" si="51"/>
        <v>1265</v>
      </c>
      <c r="CU51" s="41">
        <f t="shared" si="51"/>
        <v>1036</v>
      </c>
      <c r="CV51" s="41">
        <f t="shared" si="51"/>
        <v>751</v>
      </c>
      <c r="CW51" s="41">
        <f t="shared" si="51"/>
        <v>1013</v>
      </c>
      <c r="CX51" s="237">
        <f t="shared" si="51"/>
        <v>10762</v>
      </c>
      <c r="CY51" s="41">
        <f t="shared" si="52"/>
        <v>123234.66791283495</v>
      </c>
      <c r="CZ51" s="41">
        <f t="shared" si="52"/>
        <v>94537.2073436848</v>
      </c>
      <c r="DA51" s="41">
        <f t="shared" si="53"/>
        <v>77423.3571605197</v>
      </c>
      <c r="DB51" s="41">
        <f t="shared" si="53"/>
        <v>56124.460644353574</v>
      </c>
      <c r="DC51" s="41">
        <f t="shared" si="53"/>
        <v>75704.49884517999</v>
      </c>
      <c r="DD51" s="237">
        <f t="shared" si="53"/>
        <v>804276.2256385263</v>
      </c>
      <c r="DE51" s="39">
        <f t="shared" si="46"/>
        <v>4217</v>
      </c>
      <c r="DF51" s="39">
        <f t="shared" si="54"/>
        <v>4968</v>
      </c>
      <c r="DG51" s="39">
        <f t="shared" si="54"/>
        <v>4488</v>
      </c>
      <c r="DH51" s="39">
        <f t="shared" si="54"/>
        <v>6220</v>
      </c>
      <c r="DI51" s="39">
        <f t="shared" si="54"/>
        <v>6512</v>
      </c>
      <c r="DJ51" s="243">
        <f t="shared" si="54"/>
        <v>-2750</v>
      </c>
      <c r="DK51" s="39">
        <f t="shared" si="54"/>
        <v>-123234.66791283495</v>
      </c>
      <c r="DL51" s="39">
        <f t="shared" si="54"/>
        <v>-94537.2073436848</v>
      </c>
      <c r="DM51" s="39">
        <f t="shared" si="54"/>
        <v>-77423.3571605197</v>
      </c>
      <c r="DN51" s="39">
        <f t="shared" si="54"/>
        <v>-56124.460644353574</v>
      </c>
      <c r="DO51" s="39">
        <f t="shared" si="54"/>
        <v>-75704.49884517999</v>
      </c>
      <c r="DP51" s="243">
        <f t="shared" si="54"/>
        <v>-804276.2256385263</v>
      </c>
      <c r="DQ51" s="39">
        <f>DK51+Commerical!I51</f>
        <v>1328968.7219176735</v>
      </c>
      <c r="DR51" s="39">
        <f>DL51+Commerical!J51</f>
        <v>1820615.3350291967</v>
      </c>
      <c r="DS51" s="39">
        <f>DM51+Commerical!K51</f>
        <v>1946847.8292801583</v>
      </c>
      <c r="DT51" s="39">
        <f>DN51+Commerical!L51</f>
        <v>2212451.810542087</v>
      </c>
      <c r="DU51" s="39">
        <f>DO51+Commerical!M51</f>
        <v>2293380.246917532</v>
      </c>
      <c r="DV51" s="243">
        <f>DP51+Commerical!N51</f>
        <v>1631215.2997852026</v>
      </c>
      <c r="DW51" s="39"/>
      <c r="DX51" s="39"/>
      <c r="DY51" s="38"/>
      <c r="DZ51" s="38"/>
      <c r="EA51" s="546"/>
      <c r="EB51" s="38"/>
      <c r="EC51" s="38"/>
      <c r="ED51" s="488"/>
    </row>
    <row r="52" spans="1:134" ht="12.75">
      <c r="A52" s="88" t="s">
        <v>760</v>
      </c>
      <c r="B52" s="29">
        <f>SUM(Commerical!C51:H51)*1000/SUM(Commerical!I51:N51)</f>
        <v>29.5</v>
      </c>
      <c r="C52" s="41"/>
      <c r="E52" s="397"/>
      <c r="F52" s="397"/>
      <c r="G52" s="495"/>
      <c r="H52" s="401"/>
      <c r="I52" s="400"/>
      <c r="J52" s="400"/>
      <c r="K52" s="400"/>
      <c r="L52" s="494"/>
      <c r="M52" s="401"/>
      <c r="N52" s="41"/>
      <c r="O52" s="41"/>
      <c r="P52" s="41"/>
      <c r="Q52" s="41"/>
      <c r="R52" s="272"/>
      <c r="S52" s="41"/>
      <c r="T52" s="41"/>
      <c r="U52" s="41"/>
      <c r="V52" s="398"/>
      <c r="W52" s="397"/>
      <c r="X52" s="235"/>
      <c r="Y52" s="41"/>
      <c r="Z52" s="41"/>
      <c r="AA52" s="41"/>
      <c r="AB52" s="41"/>
      <c r="AC52" s="38"/>
      <c r="AD52" s="41"/>
      <c r="AE52" s="616"/>
      <c r="AF52" s="41"/>
      <c r="AG52" s="41"/>
      <c r="AH52" s="41"/>
      <c r="AI52" s="41"/>
      <c r="AJ52" s="235"/>
      <c r="AK52" s="41"/>
      <c r="AL52" s="41"/>
      <c r="AM52" s="41"/>
      <c r="AN52" s="41"/>
      <c r="AO52" s="41"/>
      <c r="AP52" s="498"/>
      <c r="AQ52" s="39"/>
      <c r="AR52" s="39"/>
      <c r="AS52" s="41"/>
      <c r="AT52" s="41"/>
      <c r="AU52" s="41"/>
      <c r="AV52" s="235"/>
      <c r="AW52" s="41"/>
      <c r="AX52" s="41"/>
      <c r="AY52" s="41"/>
      <c r="AZ52" s="41"/>
      <c r="BA52" s="41"/>
      <c r="BB52" s="237"/>
      <c r="BC52" s="41"/>
      <c r="BD52" s="41"/>
      <c r="BE52" s="210"/>
      <c r="BF52" s="41"/>
      <c r="BG52" s="41"/>
      <c r="BH52" s="224"/>
      <c r="BI52" s="41">
        <v>8532</v>
      </c>
      <c r="BJ52" s="41">
        <v>9742</v>
      </c>
      <c r="BK52" s="41">
        <v>9331</v>
      </c>
      <c r="BL52" s="401">
        <v>12337</v>
      </c>
      <c r="BM52" s="401">
        <v>11180</v>
      </c>
      <c r="BN52" s="235"/>
      <c r="BO52" s="41"/>
      <c r="BP52" s="41"/>
      <c r="BQ52" s="41"/>
      <c r="BR52" s="41"/>
      <c r="BS52" s="41"/>
      <c r="BT52" s="235"/>
      <c r="BU52" s="41"/>
      <c r="BV52" s="41"/>
      <c r="BW52" s="41"/>
      <c r="BX52" s="41"/>
      <c r="BY52" s="41"/>
      <c r="BZ52" s="235"/>
      <c r="CA52" s="41"/>
      <c r="CB52" s="41"/>
      <c r="CC52" s="41"/>
      <c r="CD52" s="205"/>
      <c r="CE52" s="41"/>
      <c r="CF52" s="216"/>
      <c r="CG52" s="205"/>
      <c r="CH52" s="205"/>
      <c r="CI52" s="39"/>
      <c r="CJ52" s="41"/>
      <c r="CK52" s="41"/>
      <c r="CL52" s="498"/>
      <c r="CM52" s="39"/>
      <c r="CN52" s="39"/>
      <c r="CO52" s="39"/>
      <c r="CP52" s="41"/>
      <c r="CQ52" s="41"/>
      <c r="CR52" s="237"/>
      <c r="CS52" s="41">
        <f t="shared" si="51"/>
        <v>8532</v>
      </c>
      <c r="CT52" s="41">
        <f t="shared" si="51"/>
        <v>9742</v>
      </c>
      <c r="CU52" s="41">
        <f t="shared" si="51"/>
        <v>9331</v>
      </c>
      <c r="CV52" s="41">
        <f t="shared" si="51"/>
        <v>12337</v>
      </c>
      <c r="CW52" s="41">
        <f t="shared" si="51"/>
        <v>11180</v>
      </c>
      <c r="CX52" s="237">
        <f t="shared" si="51"/>
        <v>0</v>
      </c>
      <c r="CY52" s="41">
        <f t="shared" si="52"/>
        <v>637621.7020208052</v>
      </c>
      <c r="CZ52" s="41">
        <f t="shared" si="52"/>
        <v>728048.5960017211</v>
      </c>
      <c r="DA52" s="41">
        <f t="shared" si="53"/>
        <v>697333.3452363026</v>
      </c>
      <c r="DB52" s="41">
        <f t="shared" si="53"/>
        <v>921980.6537541812</v>
      </c>
      <c r="DC52" s="41">
        <f t="shared" si="53"/>
        <v>835514.6071955699</v>
      </c>
      <c r="DD52" s="237">
        <f t="shared" si="53"/>
        <v>0</v>
      </c>
      <c r="DE52" s="39">
        <f t="shared" si="46"/>
        <v>-8532</v>
      </c>
      <c r="DF52" s="39">
        <f t="shared" si="54"/>
        <v>-9742</v>
      </c>
      <c r="DG52" s="39">
        <f t="shared" si="54"/>
        <v>-9331</v>
      </c>
      <c r="DH52" s="39">
        <f t="shared" si="54"/>
        <v>-12337</v>
      </c>
      <c r="DI52" s="39">
        <f t="shared" si="54"/>
        <v>-11180</v>
      </c>
      <c r="DJ52" s="243">
        <f t="shared" si="54"/>
        <v>0</v>
      </c>
      <c r="DK52" s="39">
        <f t="shared" si="54"/>
        <v>-637621.7020208052</v>
      </c>
      <c r="DL52" s="39">
        <f t="shared" si="54"/>
        <v>-728048.5960017211</v>
      </c>
      <c r="DM52" s="39">
        <f t="shared" si="54"/>
        <v>-697333.3452363026</v>
      </c>
      <c r="DN52" s="39">
        <f t="shared" si="54"/>
        <v>-921980.6537541812</v>
      </c>
      <c r="DO52" s="39">
        <f t="shared" si="54"/>
        <v>-835514.6071955699</v>
      </c>
      <c r="DP52" s="243">
        <f t="shared" si="54"/>
        <v>0</v>
      </c>
      <c r="DQ52" s="39">
        <f>DK52+Commerical!I52</f>
        <v>-637621.7020208052</v>
      </c>
      <c r="DR52" s="39">
        <f>DL52+Commerical!J52</f>
        <v>-728048.5960017211</v>
      </c>
      <c r="DS52" s="39">
        <f>DM52+Commerical!K52</f>
        <v>-697333.3452363026</v>
      </c>
      <c r="DT52" s="39">
        <f>DN52+Commerical!L52</f>
        <v>-921980.6537541812</v>
      </c>
      <c r="DU52" s="39">
        <f>DO52+Commerical!M52</f>
        <v>-835514.6071955699</v>
      </c>
      <c r="DV52" s="243">
        <f>DP52+Commerical!N52</f>
        <v>0</v>
      </c>
      <c r="DW52" s="39"/>
      <c r="DX52" s="39"/>
      <c r="DY52" s="38"/>
      <c r="DZ52" s="38"/>
      <c r="EA52" s="546"/>
      <c r="EB52" s="38"/>
      <c r="EC52" s="38"/>
      <c r="ED52" s="38"/>
    </row>
    <row r="53" spans="1:134" ht="13.5">
      <c r="A53" s="88" t="s">
        <v>207</v>
      </c>
      <c r="B53" s="29">
        <f>Commerical!B53</f>
        <v>0.625</v>
      </c>
      <c r="C53" s="41"/>
      <c r="D53" s="397"/>
      <c r="E53" s="398"/>
      <c r="F53" s="398">
        <v>412</v>
      </c>
      <c r="G53" s="494">
        <v>586</v>
      </c>
      <c r="H53" s="401"/>
      <c r="I53" s="205"/>
      <c r="J53" s="205"/>
      <c r="K53" s="205"/>
      <c r="L53" s="216"/>
      <c r="M53" s="205"/>
      <c r="N53" s="205"/>
      <c r="O53" s="205"/>
      <c r="P53" s="205"/>
      <c r="Q53" s="205"/>
      <c r="R53" s="271"/>
      <c r="S53" s="205"/>
      <c r="V53" s="205"/>
      <c r="W53" s="205"/>
      <c r="X53" s="216"/>
      <c r="Y53" s="205"/>
      <c r="Z53" s="205"/>
      <c r="AA53" s="205"/>
      <c r="AB53" s="205"/>
      <c r="AC53" s="38"/>
      <c r="AD53" s="41"/>
      <c r="AE53" s="616"/>
      <c r="AF53" s="205"/>
      <c r="AG53" s="205"/>
      <c r="AH53" s="205"/>
      <c r="AI53" s="205"/>
      <c r="AJ53" s="216"/>
      <c r="AK53" s="205"/>
      <c r="AL53" s="205"/>
      <c r="AM53" s="41"/>
      <c r="AN53" s="41"/>
      <c r="AO53" s="41"/>
      <c r="AP53" s="498"/>
      <c r="AQ53" s="39"/>
      <c r="AR53" s="39"/>
      <c r="AS53" s="205"/>
      <c r="AT53" s="205"/>
      <c r="AU53" s="205"/>
      <c r="AV53" s="235"/>
      <c r="AW53" s="41">
        <f t="shared" si="0"/>
        <v>0</v>
      </c>
      <c r="AX53" s="41">
        <f t="shared" si="0"/>
        <v>0</v>
      </c>
      <c r="AY53" s="41">
        <f t="shared" si="1"/>
        <v>0</v>
      </c>
      <c r="AZ53" s="41">
        <f>(F53+K53+P53+V53+AB53+(AH53/0.212)+(AN53/0.55)+(AT53/0.635))</f>
        <v>412</v>
      </c>
      <c r="BA53" s="41">
        <f>(G53+L53+Q53+W53+AC53+(AI53/0.212)+(AO53/0.55)+(AU53/0.635))</f>
        <v>586</v>
      </c>
      <c r="BB53" s="237">
        <f>(R53+X53+AD53+(AJ53/0.212)+(AP53/0.55)+(AV53/0.635))</f>
        <v>0</v>
      </c>
      <c r="BC53" s="41"/>
      <c r="BD53" s="41"/>
      <c r="BE53" s="210"/>
      <c r="BF53" s="41"/>
      <c r="BG53" s="41"/>
      <c r="BH53" s="224"/>
      <c r="BI53" s="210"/>
      <c r="BJ53" s="210"/>
      <c r="BK53" s="41"/>
      <c r="BL53" s="286"/>
      <c r="BM53" s="41"/>
      <c r="BN53" s="216"/>
      <c r="BO53" s="205"/>
      <c r="BP53" s="205"/>
      <c r="BQ53" s="205"/>
      <c r="BR53" s="205"/>
      <c r="BS53" s="205"/>
      <c r="BT53" s="216"/>
      <c r="BU53" s="205"/>
      <c r="BV53" s="205"/>
      <c r="BW53" s="205"/>
      <c r="BX53" s="205"/>
      <c r="BY53" s="205"/>
      <c r="BZ53" s="235"/>
      <c r="CA53" s="41"/>
      <c r="CB53" s="41"/>
      <c r="CC53" s="205"/>
      <c r="CD53" s="205"/>
      <c r="CE53" s="205"/>
      <c r="CF53" s="216"/>
      <c r="CG53" s="205"/>
      <c r="CH53" s="205"/>
      <c r="CI53" s="39"/>
      <c r="CJ53" s="41"/>
      <c r="CK53" s="41"/>
      <c r="CL53" s="498"/>
      <c r="CM53" s="39"/>
      <c r="CN53" s="39"/>
      <c r="CO53" s="39"/>
      <c r="CP53" s="205"/>
      <c r="CQ53" s="205"/>
      <c r="CR53" s="282"/>
      <c r="CS53" s="205"/>
      <c r="CT53" s="41"/>
      <c r="CU53" s="41"/>
      <c r="CV53" s="41"/>
      <c r="CW53" s="41"/>
      <c r="CX53" s="237"/>
      <c r="CY53" s="41"/>
      <c r="CZ53" s="41"/>
      <c r="DA53" s="39"/>
      <c r="DB53" s="41"/>
      <c r="DC53" s="41"/>
      <c r="DD53" s="224"/>
      <c r="DE53" s="210"/>
      <c r="DF53" s="39"/>
      <c r="DG53" s="39"/>
      <c r="DH53" s="39"/>
      <c r="DI53" s="39"/>
      <c r="DJ53" s="243"/>
      <c r="DK53" s="39"/>
      <c r="DL53" s="39"/>
      <c r="DM53" s="39"/>
      <c r="DN53" s="39"/>
      <c r="DO53" s="39"/>
      <c r="DP53" s="243"/>
      <c r="DQ53" s="39">
        <f>DK53+Commerical!I53</f>
        <v>278094400</v>
      </c>
      <c r="DR53" s="213">
        <f>DL53+Commerical!J53</f>
        <v>231220800</v>
      </c>
      <c r="DS53" s="39">
        <f>DM53+Commerical!K53</f>
        <v>358924800</v>
      </c>
      <c r="DT53" s="39">
        <f>DN53+Commerical!L53</f>
        <v>277147200</v>
      </c>
      <c r="DU53" s="39">
        <f>DO53+Commerical!M53</f>
        <v>261408000</v>
      </c>
      <c r="DV53" s="243">
        <f>DP53+Commerical!N53</f>
        <v>452715200</v>
      </c>
      <c r="DW53" s="138"/>
      <c r="DX53" s="520"/>
      <c r="DY53" s="38"/>
      <c r="DZ53" s="38"/>
      <c r="EA53" s="627"/>
      <c r="EB53" s="38"/>
      <c r="EC53" s="38"/>
      <c r="ED53" s="38"/>
    </row>
    <row r="54" spans="1:134" ht="12.75">
      <c r="A54" s="88" t="s">
        <v>208</v>
      </c>
      <c r="B54" s="29">
        <f>Commerical!B54</f>
        <v>0.5682362239200001</v>
      </c>
      <c r="C54" s="41"/>
      <c r="E54" s="41"/>
      <c r="F54" s="41"/>
      <c r="G54" s="235"/>
      <c r="H54" s="41"/>
      <c r="I54" s="205"/>
      <c r="J54" s="205"/>
      <c r="K54" s="205"/>
      <c r="L54" s="216"/>
      <c r="M54" s="205"/>
      <c r="N54" s="205"/>
      <c r="O54" s="205"/>
      <c r="P54" s="205"/>
      <c r="Q54" s="205"/>
      <c r="R54" s="271"/>
      <c r="S54" s="205"/>
      <c r="V54" s="205"/>
      <c r="W54" s="205"/>
      <c r="X54" s="216"/>
      <c r="Y54" s="205"/>
      <c r="Z54" s="205"/>
      <c r="AA54" s="205"/>
      <c r="AB54" s="205"/>
      <c r="AC54" s="38"/>
      <c r="AD54" s="41"/>
      <c r="AE54" s="616"/>
      <c r="AF54" s="205"/>
      <c r="AG54" s="205"/>
      <c r="AH54" s="205"/>
      <c r="AI54" s="205"/>
      <c r="AJ54" s="216"/>
      <c r="AK54" s="205"/>
      <c r="AL54" s="205"/>
      <c r="AM54" s="41"/>
      <c r="AN54" s="41"/>
      <c r="AO54" s="41"/>
      <c r="AP54" s="498"/>
      <c r="AQ54" s="39"/>
      <c r="AR54" s="39"/>
      <c r="AS54" s="205"/>
      <c r="AT54" s="205"/>
      <c r="AU54" s="205"/>
      <c r="AV54" s="235"/>
      <c r="AW54" s="41"/>
      <c r="AX54" s="41"/>
      <c r="AY54" s="41"/>
      <c r="AZ54" s="41"/>
      <c r="BA54" s="41"/>
      <c r="BB54" s="237"/>
      <c r="BC54" s="41"/>
      <c r="BD54" s="41"/>
      <c r="BE54" s="210"/>
      <c r="BF54" s="41"/>
      <c r="BG54" s="41"/>
      <c r="BH54" s="224"/>
      <c r="BI54" s="210"/>
      <c r="BJ54" s="210"/>
      <c r="BK54" s="41"/>
      <c r="BL54" s="286"/>
      <c r="BM54" s="41"/>
      <c r="BN54" s="216"/>
      <c r="BO54" s="205"/>
      <c r="BP54" s="205"/>
      <c r="BQ54" s="205"/>
      <c r="BR54" s="205"/>
      <c r="BS54" s="205"/>
      <c r="BT54" s="216"/>
      <c r="BU54" s="205"/>
      <c r="BV54" s="205"/>
      <c r="BW54" s="205"/>
      <c r="BX54" s="205"/>
      <c r="BY54" s="205"/>
      <c r="BZ54" s="235"/>
      <c r="CA54" s="41"/>
      <c r="CB54" s="41"/>
      <c r="CC54" s="205"/>
      <c r="CD54" s="205"/>
      <c r="CE54" s="205"/>
      <c r="CF54" s="216"/>
      <c r="CG54" s="205"/>
      <c r="CH54" s="205"/>
      <c r="CI54" s="39"/>
      <c r="CJ54" s="41"/>
      <c r="CK54" s="41"/>
      <c r="CL54" s="498"/>
      <c r="CM54" s="39"/>
      <c r="CN54" s="39"/>
      <c r="CO54" s="39"/>
      <c r="CP54" s="205"/>
      <c r="CQ54" s="205"/>
      <c r="CR54" s="282"/>
      <c r="CS54" s="205"/>
      <c r="CT54" s="41"/>
      <c r="CU54" s="41"/>
      <c r="CV54" s="41"/>
      <c r="CW54" s="41"/>
      <c r="CX54" s="237"/>
      <c r="CY54" s="41"/>
      <c r="CZ54" s="41"/>
      <c r="DA54" s="39"/>
      <c r="DB54" s="41"/>
      <c r="DC54" s="41"/>
      <c r="DD54" s="224"/>
      <c r="DE54" s="210"/>
      <c r="DF54" s="39"/>
      <c r="DG54" s="39"/>
      <c r="DH54" s="39"/>
      <c r="DI54" s="39"/>
      <c r="DJ54" s="243"/>
      <c r="DK54" s="39"/>
      <c r="DL54" s="39"/>
      <c r="DM54" s="39"/>
      <c r="DN54" s="39"/>
      <c r="DO54" s="39"/>
      <c r="DP54" s="243"/>
      <c r="DQ54" s="39">
        <f>DK54+Commerical!I54</f>
        <v>180439042.2220515</v>
      </c>
      <c r="DR54" s="39">
        <f>DL54+Commerical!J54</f>
        <v>191589334.53585517</v>
      </c>
      <c r="DS54" s="39">
        <f>DM54+Commerical!K54</f>
        <v>156137529.19154093</v>
      </c>
      <c r="DT54" s="39">
        <f>DN54+Commerical!L54</f>
        <v>151730911.14328265</v>
      </c>
      <c r="DU54" s="39">
        <f>DO54+Commerical!M54</f>
        <v>122007357.29540639</v>
      </c>
      <c r="DV54" s="243">
        <f>DP54+Commerical!N54</f>
        <v>144186513.5502782</v>
      </c>
      <c r="DW54" s="138"/>
      <c r="DX54" s="39"/>
      <c r="DY54" s="38"/>
      <c r="DZ54" s="38"/>
      <c r="EA54" s="546"/>
      <c r="EB54" s="38"/>
      <c r="EC54" s="38"/>
      <c r="ED54" s="38"/>
    </row>
    <row r="55" spans="1:134" ht="12.75">
      <c r="A55" s="88" t="s">
        <v>209</v>
      </c>
      <c r="B55" s="29">
        <f>Commerical!B55</f>
        <v>0.39848028218</v>
      </c>
      <c r="C55" s="41"/>
      <c r="E55" s="41"/>
      <c r="F55" s="41"/>
      <c r="G55" s="235"/>
      <c r="H55" s="41"/>
      <c r="I55" s="205"/>
      <c r="J55" s="205"/>
      <c r="K55" s="205"/>
      <c r="L55" s="216"/>
      <c r="M55" s="205"/>
      <c r="N55" s="205"/>
      <c r="O55" s="205"/>
      <c r="P55" s="205"/>
      <c r="Q55" s="205"/>
      <c r="R55" s="271"/>
      <c r="S55" s="205"/>
      <c r="V55" s="205"/>
      <c r="W55" s="205"/>
      <c r="X55" s="216"/>
      <c r="Y55" s="205"/>
      <c r="Z55" s="205"/>
      <c r="AA55" s="205"/>
      <c r="AB55" s="205"/>
      <c r="AC55" s="38"/>
      <c r="AD55" s="41"/>
      <c r="AE55" s="616"/>
      <c r="AF55" s="205"/>
      <c r="AG55" s="205"/>
      <c r="AH55" s="205"/>
      <c r="AI55" s="205"/>
      <c r="AJ55" s="216"/>
      <c r="AK55" s="205"/>
      <c r="AL55" s="205"/>
      <c r="AM55" s="41"/>
      <c r="AN55" s="41"/>
      <c r="AO55" s="41"/>
      <c r="AP55" s="498"/>
      <c r="AQ55" s="39"/>
      <c r="AR55" s="39"/>
      <c r="AS55" s="205"/>
      <c r="AT55" s="205"/>
      <c r="AU55" s="205"/>
      <c r="AV55" s="235"/>
      <c r="AW55" s="41"/>
      <c r="AX55" s="41"/>
      <c r="AY55" s="41"/>
      <c r="AZ55" s="41"/>
      <c r="BA55" s="41"/>
      <c r="BB55" s="237"/>
      <c r="BC55" s="41"/>
      <c r="BD55" s="41"/>
      <c r="BE55" s="210"/>
      <c r="BF55" s="41"/>
      <c r="BG55" s="41"/>
      <c r="BH55" s="224"/>
      <c r="BI55" s="210"/>
      <c r="BJ55" s="210"/>
      <c r="BK55" s="41"/>
      <c r="BL55" s="286"/>
      <c r="BM55" s="41"/>
      <c r="BN55" s="216"/>
      <c r="BO55" s="205"/>
      <c r="BP55" s="205"/>
      <c r="BQ55" s="205"/>
      <c r="BR55" s="205"/>
      <c r="BS55" s="205"/>
      <c r="BT55" s="216"/>
      <c r="BU55" s="205"/>
      <c r="BV55" s="205"/>
      <c r="BW55" s="205"/>
      <c r="BX55" s="205"/>
      <c r="BY55" s="205"/>
      <c r="BZ55" s="235"/>
      <c r="CA55" s="41"/>
      <c r="CB55" s="41"/>
      <c r="CC55" s="205"/>
      <c r="CD55" s="205"/>
      <c r="CE55" s="205"/>
      <c r="CF55" s="216"/>
      <c r="CG55" s="205"/>
      <c r="CH55" s="205"/>
      <c r="CI55" s="39"/>
      <c r="CJ55" s="41"/>
      <c r="CK55" s="41"/>
      <c r="CL55" s="498"/>
      <c r="CM55" s="39"/>
      <c r="CN55" s="39"/>
      <c r="CO55" s="39"/>
      <c r="CP55" s="205"/>
      <c r="CQ55" s="205"/>
      <c r="CR55" s="282"/>
      <c r="CS55" s="205"/>
      <c r="CT55" s="41"/>
      <c r="CU55" s="41"/>
      <c r="CV55" s="41"/>
      <c r="CW55" s="41"/>
      <c r="CX55" s="237"/>
      <c r="CY55" s="41"/>
      <c r="CZ55" s="41"/>
      <c r="DA55" s="39"/>
      <c r="DB55" s="41"/>
      <c r="DC55" s="41"/>
      <c r="DD55" s="224"/>
      <c r="DE55" s="210"/>
      <c r="DF55" s="39"/>
      <c r="DG55" s="39"/>
      <c r="DH55" s="39"/>
      <c r="DI55" s="39"/>
      <c r="DJ55" s="243"/>
      <c r="DK55" s="39"/>
      <c r="DL55" s="39"/>
      <c r="DM55" s="39"/>
      <c r="DN55" s="39"/>
      <c r="DO55" s="39"/>
      <c r="DP55" s="243"/>
      <c r="DQ55" s="39">
        <f>DK55+Commerical!I55</f>
        <v>1859565.035304001</v>
      </c>
      <c r="DR55" s="39">
        <f>DL55+Commerical!J55</f>
        <v>2946193.4567434513</v>
      </c>
      <c r="DS55" s="39">
        <f>DM55+Commerical!K55</f>
        <v>2170747.308418301</v>
      </c>
      <c r="DT55" s="39">
        <f>DN55+Commerical!L55</f>
        <v>2293714.4969876613</v>
      </c>
      <c r="DU55" s="39">
        <f>DO55+Commerical!M55</f>
        <v>286086.92850830784</v>
      </c>
      <c r="DV55" s="243">
        <f>DP55+Commerical!N55</f>
        <v>1292410.2472085839</v>
      </c>
      <c r="DW55" s="138"/>
      <c r="DX55" s="39"/>
      <c r="DY55" s="38"/>
      <c r="DZ55" s="38"/>
      <c r="EA55" s="546"/>
      <c r="EB55" s="38"/>
      <c r="EC55" s="38"/>
      <c r="ED55" s="38"/>
    </row>
    <row r="56" spans="1:134" ht="12.75">
      <c r="A56" s="88" t="s">
        <v>635</v>
      </c>
      <c r="B56" s="29">
        <f>SUM(Commerical!C53:H55)*1000/SUM(Commerical!I53:N55)</f>
        <v>0.6050596025981604</v>
      </c>
      <c r="C56" s="41">
        <v>3119</v>
      </c>
      <c r="D56" s="41">
        <v>6881</v>
      </c>
      <c r="E56" s="397">
        <v>3722</v>
      </c>
      <c r="F56" s="397">
        <v>5262</v>
      </c>
      <c r="G56" s="495">
        <v>8757</v>
      </c>
      <c r="H56" s="401"/>
      <c r="I56" s="205"/>
      <c r="J56" s="205"/>
      <c r="K56" s="205"/>
      <c r="L56" s="216"/>
      <c r="M56" s="205"/>
      <c r="N56" s="205"/>
      <c r="O56" s="205"/>
      <c r="P56" s="205"/>
      <c r="Q56" s="205"/>
      <c r="R56" s="271">
        <v>4256</v>
      </c>
      <c r="S56" s="205"/>
      <c r="V56" s="205"/>
      <c r="W56" s="205"/>
      <c r="X56" s="216"/>
      <c r="Y56" s="205">
        <v>2904</v>
      </c>
      <c r="Z56" s="205">
        <v>2549</v>
      </c>
      <c r="AA56" s="205">
        <v>2577</v>
      </c>
      <c r="AB56" s="205"/>
      <c r="AC56" s="38"/>
      <c r="AD56" s="41">
        <v>2824</v>
      </c>
      <c r="AE56" s="616"/>
      <c r="AF56" s="205"/>
      <c r="AG56" s="205"/>
      <c r="AH56" s="205"/>
      <c r="AI56" s="205"/>
      <c r="AJ56" s="216"/>
      <c r="AK56" s="205">
        <v>7187</v>
      </c>
      <c r="AL56" s="205">
        <v>6457</v>
      </c>
      <c r="AM56" s="401">
        <v>5757</v>
      </c>
      <c r="AN56" s="401">
        <v>6362</v>
      </c>
      <c r="AO56" s="401">
        <v>6307</v>
      </c>
      <c r="AP56" s="235">
        <v>6809</v>
      </c>
      <c r="AQ56" s="41">
        <v>2791</v>
      </c>
      <c r="AR56" s="41">
        <v>2916</v>
      </c>
      <c r="AS56" s="401">
        <v>2827</v>
      </c>
      <c r="AT56" s="401">
        <v>2811</v>
      </c>
      <c r="AU56" s="401">
        <v>2340</v>
      </c>
      <c r="AV56" s="41">
        <v>2329</v>
      </c>
      <c r="AW56" s="41">
        <f t="shared" si="0"/>
        <v>23485.54831782391</v>
      </c>
      <c r="AX56" s="41">
        <f t="shared" si="0"/>
        <v>25762.12598425197</v>
      </c>
      <c r="AY56" s="41">
        <f t="shared" si="1"/>
        <v>21218.241231209737</v>
      </c>
      <c r="AZ56" s="41">
        <f>(F56+K56+P56+V56+AB56+(AH56/0.212)+(AN56/0.55)+(AT56/0.635))</f>
        <v>21256.044380816034</v>
      </c>
      <c r="BA56" s="41">
        <f>(G56+L56+Q56+W56+AC56+(AI56/0.212)+(AO56/0.55)+(AU56/0.635))</f>
        <v>23909.312097351467</v>
      </c>
      <c r="BB56" s="237">
        <f>(R56+X56+AD56+(AJ56/0.212)+(AP56/0.55)+(AV56/0.635))</f>
        <v>23127.716535433072</v>
      </c>
      <c r="BC56" s="41">
        <f aca="true" t="shared" si="55" ref="BC56:BH56">AW56*1000/0.45359237/$B56</f>
        <v>85573009.4781814</v>
      </c>
      <c r="BD56" s="41">
        <f t="shared" si="55"/>
        <v>93868051.16044071</v>
      </c>
      <c r="BE56" s="41">
        <f t="shared" si="55"/>
        <v>77311746.50117292</v>
      </c>
      <c r="BF56" s="41">
        <f t="shared" si="55"/>
        <v>77449487.77234903</v>
      </c>
      <c r="BG56" s="41">
        <f t="shared" si="55"/>
        <v>87117054.41301908</v>
      </c>
      <c r="BH56" s="237">
        <f t="shared" si="55"/>
        <v>84269197.35969292</v>
      </c>
      <c r="BI56" s="41">
        <v>47370</v>
      </c>
      <c r="BJ56" s="41">
        <v>41555</v>
      </c>
      <c r="BK56" s="41">
        <v>53315</v>
      </c>
      <c r="BL56" s="401">
        <v>31584</v>
      </c>
      <c r="BM56" s="401">
        <v>14215</v>
      </c>
      <c r="BN56" s="216">
        <v>31957</v>
      </c>
      <c r="BO56" s="205"/>
      <c r="BP56" s="205"/>
      <c r="BQ56" s="205"/>
      <c r="BR56" s="205"/>
      <c r="BS56" s="205"/>
      <c r="BT56" s="216"/>
      <c r="BU56" s="205">
        <v>43</v>
      </c>
      <c r="BV56" s="205">
        <v>40</v>
      </c>
      <c r="BW56" s="205">
        <v>315</v>
      </c>
      <c r="BX56" s="400">
        <v>384</v>
      </c>
      <c r="BY56" s="400">
        <v>630</v>
      </c>
      <c r="BZ56" s="235">
        <v>917</v>
      </c>
      <c r="CA56" s="41"/>
      <c r="CB56" s="41"/>
      <c r="CC56" s="205"/>
      <c r="CD56" s="205"/>
      <c r="CE56" s="205"/>
      <c r="CF56" s="216"/>
      <c r="CG56" s="205">
        <v>0</v>
      </c>
      <c r="CH56" s="205">
        <v>10</v>
      </c>
      <c r="CI56" s="39">
        <v>14</v>
      </c>
      <c r="CJ56" s="400">
        <v>31</v>
      </c>
      <c r="CK56" s="400">
        <v>3</v>
      </c>
      <c r="CL56" s="235">
        <v>4</v>
      </c>
      <c r="CM56" s="41">
        <v>15</v>
      </c>
      <c r="CN56" s="39">
        <v>8</v>
      </c>
      <c r="CO56" s="39">
        <v>13</v>
      </c>
      <c r="CP56" s="400">
        <v>518</v>
      </c>
      <c r="CQ56" s="400">
        <v>9</v>
      </c>
      <c r="CR56" s="282">
        <v>19</v>
      </c>
      <c r="CS56" s="41">
        <f aca="true" t="shared" si="56" ref="CS56:CX56">(BI56+BO56+BU56+(CA56/0.212)+(CG56/0.55)+(CM56/0.635))</f>
        <v>47436.62204724409</v>
      </c>
      <c r="CT56" s="41">
        <f t="shared" si="56"/>
        <v>41625.780243378664</v>
      </c>
      <c r="CU56" s="41">
        <f t="shared" si="56"/>
        <v>53675.92698639943</v>
      </c>
      <c r="CV56" s="41">
        <f t="shared" si="56"/>
        <v>32840.111667859695</v>
      </c>
      <c r="CW56" s="41">
        <f t="shared" si="56"/>
        <v>14864.627773801003</v>
      </c>
      <c r="CX56" s="237">
        <f t="shared" si="56"/>
        <v>32911.19398711525</v>
      </c>
      <c r="CY56" s="41">
        <f aca="true" t="shared" si="57" ref="CY56:DD56">CS56*1000/0.45359237/$B56</f>
        <v>172842228.46868786</v>
      </c>
      <c r="CZ56" s="41">
        <f t="shared" si="57"/>
        <v>151669581.6124503</v>
      </c>
      <c r="DA56" s="41">
        <f t="shared" si="57"/>
        <v>195576043.04564613</v>
      </c>
      <c r="DB56" s="41">
        <f t="shared" si="57"/>
        <v>119657720.95197475</v>
      </c>
      <c r="DC56" s="41">
        <f t="shared" si="57"/>
        <v>54161432.22050061</v>
      </c>
      <c r="DD56" s="237">
        <f t="shared" si="57"/>
        <v>119916719.71568555</v>
      </c>
      <c r="DE56" s="39">
        <f aca="true" t="shared" si="58" ref="DE56:DP56">AW56-CS56</f>
        <v>-23951.073729420183</v>
      </c>
      <c r="DF56" s="39">
        <f t="shared" si="58"/>
        <v>-15863.654259126695</v>
      </c>
      <c r="DG56" s="39">
        <f t="shared" si="58"/>
        <v>-32457.68575518969</v>
      </c>
      <c r="DH56" s="39">
        <f t="shared" si="58"/>
        <v>-11584.067287043661</v>
      </c>
      <c r="DI56" s="39">
        <f t="shared" si="58"/>
        <v>9044.684323550464</v>
      </c>
      <c r="DJ56" s="243">
        <f t="shared" si="58"/>
        <v>-9783.477451682178</v>
      </c>
      <c r="DK56" s="39">
        <f t="shared" si="58"/>
        <v>-87269218.99050646</v>
      </c>
      <c r="DL56" s="39">
        <f t="shared" si="58"/>
        <v>-57801530.45200959</v>
      </c>
      <c r="DM56" s="39">
        <f t="shared" si="58"/>
        <v>-118264296.54447322</v>
      </c>
      <c r="DN56" s="39">
        <f t="shared" si="58"/>
        <v>-42208233.17962572</v>
      </c>
      <c r="DO56" s="39">
        <f t="shared" si="58"/>
        <v>32955622.192518465</v>
      </c>
      <c r="DP56" s="243">
        <f t="shared" si="58"/>
        <v>-35647522.35599263</v>
      </c>
      <c r="DQ56" s="39">
        <f>DK56+Commerical!I56</f>
        <v>-87269218.99050646</v>
      </c>
      <c r="DR56" s="39">
        <f>DL56+Commerical!J56</f>
        <v>-57801530.45200959</v>
      </c>
      <c r="DS56" s="39">
        <f>DM56+Commerical!K56</f>
        <v>-118264296.54447322</v>
      </c>
      <c r="DT56" s="39">
        <f>DN56+Commerical!L56</f>
        <v>-42208233.17962572</v>
      </c>
      <c r="DU56" s="39">
        <f>DO56+Commerical!M56</f>
        <v>32955622.192518465</v>
      </c>
      <c r="DV56" s="243">
        <f>DP56+Commerical!N56</f>
        <v>-35647522.35599263</v>
      </c>
      <c r="DW56" s="138"/>
      <c r="DX56" s="39"/>
      <c r="DY56" s="39"/>
      <c r="DZ56" s="38"/>
      <c r="EA56" s="547"/>
      <c r="EB56" s="39"/>
      <c r="EC56" s="38"/>
      <c r="ED56" s="38"/>
    </row>
    <row r="57" spans="1:134" ht="12.75">
      <c r="A57" s="88" t="s">
        <v>210</v>
      </c>
      <c r="B57" s="29">
        <f>Commerical!B57</f>
        <v>2.26635205336</v>
      </c>
      <c r="C57" s="41"/>
      <c r="E57" s="41"/>
      <c r="F57" s="41"/>
      <c r="G57" s="235"/>
      <c r="H57" s="41"/>
      <c r="I57" s="205"/>
      <c r="J57" s="205"/>
      <c r="K57" s="205"/>
      <c r="L57" s="216"/>
      <c r="M57" s="205"/>
      <c r="N57" s="205"/>
      <c r="O57" s="205"/>
      <c r="P57" s="205"/>
      <c r="Q57" s="205"/>
      <c r="R57" s="271"/>
      <c r="S57" s="205"/>
      <c r="V57" s="205"/>
      <c r="W57" s="205"/>
      <c r="X57" s="216"/>
      <c r="Y57" s="205"/>
      <c r="Z57" s="205"/>
      <c r="AA57" s="205"/>
      <c r="AB57" s="205"/>
      <c r="AC57" s="38"/>
      <c r="AD57" s="41"/>
      <c r="AE57" s="616"/>
      <c r="AF57" s="205"/>
      <c r="AG57" s="205"/>
      <c r="AH57" s="205"/>
      <c r="AI57" s="205"/>
      <c r="AJ57" s="216"/>
      <c r="AK57" s="205"/>
      <c r="AL57" s="205"/>
      <c r="AM57" s="41"/>
      <c r="AN57" s="41"/>
      <c r="AO57" s="41"/>
      <c r="AP57" s="498"/>
      <c r="AQ57" s="39"/>
      <c r="AR57" s="39"/>
      <c r="AS57" s="205"/>
      <c r="AT57" s="205"/>
      <c r="AU57" s="205"/>
      <c r="AV57" s="235"/>
      <c r="AW57" s="41"/>
      <c r="AX57" s="41"/>
      <c r="AY57" s="41"/>
      <c r="AZ57" s="41"/>
      <c r="BA57" s="41"/>
      <c r="BB57" s="237"/>
      <c r="BC57" s="41"/>
      <c r="BD57" s="41"/>
      <c r="BE57" s="210"/>
      <c r="BF57" s="41"/>
      <c r="BG57" s="41"/>
      <c r="BH57" s="224"/>
      <c r="BI57" s="210"/>
      <c r="BJ57" s="210"/>
      <c r="BK57" s="41"/>
      <c r="BL57" s="286"/>
      <c r="BM57" s="41"/>
      <c r="BN57" s="216"/>
      <c r="BO57" s="205"/>
      <c r="BP57" s="205"/>
      <c r="BQ57" s="205"/>
      <c r="BR57" s="205"/>
      <c r="BS57" s="205"/>
      <c r="BT57" s="216"/>
      <c r="BU57" s="205"/>
      <c r="BV57" s="205"/>
      <c r="BW57" s="205"/>
      <c r="BX57" s="205"/>
      <c r="BY57" s="205"/>
      <c r="BZ57" s="235"/>
      <c r="CA57" s="41"/>
      <c r="CB57" s="41"/>
      <c r="CC57" s="205"/>
      <c r="CD57" s="205"/>
      <c r="CE57" s="400"/>
      <c r="CF57" s="216"/>
      <c r="CG57" s="205"/>
      <c r="CH57" s="286"/>
      <c r="CI57" s="39"/>
      <c r="CJ57" s="400"/>
      <c r="CK57" s="286"/>
      <c r="CL57" s="618"/>
      <c r="CM57" s="286"/>
      <c r="CN57" s="286"/>
      <c r="CP57" s="205"/>
      <c r="CQ57" s="205"/>
      <c r="CR57" s="282"/>
      <c r="CS57" s="205"/>
      <c r="CT57" s="41"/>
      <c r="CU57" s="41"/>
      <c r="CV57" s="41"/>
      <c r="CW57" s="41"/>
      <c r="CX57" s="237"/>
      <c r="CY57" s="41"/>
      <c r="CZ57" s="41"/>
      <c r="DA57" s="39"/>
      <c r="DB57" s="41"/>
      <c r="DC57" s="41"/>
      <c r="DD57" s="224"/>
      <c r="DE57" s="210"/>
      <c r="DF57" s="39"/>
      <c r="DG57" s="39"/>
      <c r="DH57" s="39"/>
      <c r="DI57" s="39"/>
      <c r="DJ57" s="243"/>
      <c r="DK57" s="39"/>
      <c r="DL57" s="39"/>
      <c r="DM57" s="39"/>
      <c r="DN57" s="39"/>
      <c r="DO57" s="39"/>
      <c r="DP57" s="243"/>
      <c r="DQ57" s="39">
        <f>DK57+Commerical!I57</f>
        <v>107220.76459380538</v>
      </c>
      <c r="DR57" s="39">
        <f>DL57+Commerical!J57</f>
        <v>301806.59663441515</v>
      </c>
      <c r="DS57" s="39">
        <f>DM57+Commerical!K57</f>
        <v>116927.99431011698</v>
      </c>
      <c r="DT57" s="39">
        <f>DN57+Commerical!L57</f>
        <v>274891.0960573694</v>
      </c>
      <c r="DU57" s="39">
        <f>DO57+Commerical!M57</f>
        <v>624351.3658445869</v>
      </c>
      <c r="DV57" s="243">
        <f>DP57+Commerical!N57</f>
        <v>1142805.6802385019</v>
      </c>
      <c r="DW57" s="39"/>
      <c r="DX57" s="39"/>
      <c r="DY57" s="38"/>
      <c r="DZ57" s="38"/>
      <c r="EA57" s="546"/>
      <c r="EB57" s="38"/>
      <c r="EC57" s="38"/>
      <c r="ED57" s="38"/>
    </row>
    <row r="58" spans="1:134" ht="12.75">
      <c r="A58" s="88" t="s">
        <v>211</v>
      </c>
      <c r="B58" s="29">
        <f>Commerical!B58</f>
        <v>14.056710255399999</v>
      </c>
      <c r="C58" s="41">
        <v>236</v>
      </c>
      <c r="D58" s="41">
        <v>214</v>
      </c>
      <c r="E58" s="398">
        <v>231</v>
      </c>
      <c r="F58" s="398">
        <v>719</v>
      </c>
      <c r="G58" s="494">
        <v>494</v>
      </c>
      <c r="H58" s="401"/>
      <c r="I58" s="205"/>
      <c r="J58" s="205"/>
      <c r="K58" s="205"/>
      <c r="L58" s="216"/>
      <c r="M58" s="205"/>
      <c r="N58" s="205"/>
      <c r="O58" s="205"/>
      <c r="P58" s="205"/>
      <c r="Q58" s="205"/>
      <c r="R58" s="271">
        <v>398</v>
      </c>
      <c r="S58" s="205"/>
      <c r="V58" s="205"/>
      <c r="W58" s="205"/>
      <c r="X58" s="216"/>
      <c r="Y58" s="205"/>
      <c r="Z58" s="205"/>
      <c r="AA58" s="205"/>
      <c r="AB58" s="205"/>
      <c r="AC58" s="38"/>
      <c r="AD58" s="41"/>
      <c r="AE58" s="616"/>
      <c r="AF58" s="205"/>
      <c r="AG58" s="205"/>
      <c r="AH58" s="205"/>
      <c r="AI58" s="205"/>
      <c r="AJ58" s="216"/>
      <c r="AK58" s="205"/>
      <c r="AL58" s="205"/>
      <c r="AM58" s="41"/>
      <c r="AN58" s="41"/>
      <c r="AO58" s="41"/>
      <c r="AP58" s="498"/>
      <c r="AQ58" s="39"/>
      <c r="AR58" s="39"/>
      <c r="AS58" s="205"/>
      <c r="AT58" s="205"/>
      <c r="AU58" s="205"/>
      <c r="AV58" s="235"/>
      <c r="AW58" s="41">
        <f t="shared" si="0"/>
        <v>236</v>
      </c>
      <c r="AX58" s="41">
        <f t="shared" si="0"/>
        <v>214</v>
      </c>
      <c r="AY58" s="41">
        <f t="shared" si="1"/>
        <v>231</v>
      </c>
      <c r="AZ58" s="41">
        <f>(F58+K58+P58+V58+AB58+(AH58/0.212)+(AN58/0.55)+(AT58/0.635))</f>
        <v>719</v>
      </c>
      <c r="BA58" s="41">
        <f>(G58+L58+Q58+W58+AC58+(AI58/0.212)+(AO58/0.55)+(AU58/0.635))</f>
        <v>494</v>
      </c>
      <c r="BB58" s="237">
        <f>(R58+X58+AD58+(AJ58/0.212)+(AP58/0.55)+(AV58/0.635))</f>
        <v>398</v>
      </c>
      <c r="BC58" s="41">
        <f aca="true" t="shared" si="59" ref="BC58:BH58">AW58*1000/0.45359237/$B58</f>
        <v>37013.70586026251</v>
      </c>
      <c r="BD58" s="41">
        <f t="shared" si="59"/>
        <v>33563.2756529499</v>
      </c>
      <c r="BE58" s="41">
        <f t="shared" si="59"/>
        <v>36229.51717678237</v>
      </c>
      <c r="BF58" s="41">
        <f t="shared" si="59"/>
        <v>112766.33268444384</v>
      </c>
      <c r="BG58" s="41">
        <f t="shared" si="59"/>
        <v>77477.84192783764</v>
      </c>
      <c r="BH58" s="237">
        <f t="shared" si="59"/>
        <v>62421.419205018974</v>
      </c>
      <c r="BI58" s="41">
        <v>8</v>
      </c>
      <c r="BJ58" s="41">
        <v>1</v>
      </c>
      <c r="BK58" s="41">
        <v>7</v>
      </c>
      <c r="BL58" s="400">
        <v>14</v>
      </c>
      <c r="BM58" s="400">
        <v>2</v>
      </c>
      <c r="BN58" s="216">
        <v>6</v>
      </c>
      <c r="BO58" s="205"/>
      <c r="BP58" s="205"/>
      <c r="BQ58" s="205"/>
      <c r="BR58" s="205"/>
      <c r="BS58" s="205"/>
      <c r="BT58" s="216"/>
      <c r="BU58" s="205"/>
      <c r="BV58" s="205"/>
      <c r="BW58" s="205"/>
      <c r="BX58" s="205"/>
      <c r="BY58" s="205"/>
      <c r="BZ58" s="235"/>
      <c r="CA58" s="41"/>
      <c r="CB58" s="41"/>
      <c r="CC58" s="205"/>
      <c r="CD58" s="205"/>
      <c r="CE58" s="400"/>
      <c r="CF58" s="216"/>
      <c r="CG58" s="205"/>
      <c r="CH58" s="205"/>
      <c r="CI58" s="39"/>
      <c r="CJ58" s="400"/>
      <c r="CK58" s="286"/>
      <c r="CL58" s="618"/>
      <c r="CM58" s="286"/>
      <c r="CQ58" s="205"/>
      <c r="CR58" s="282"/>
      <c r="CS58" s="41">
        <f>(BI58+BO58+BU58+(CA58/0.212)+(CG58/0.55)+(CM58/0.635))</f>
        <v>8</v>
      </c>
      <c r="CT58" s="41">
        <f>(BJ58+BP58+BV58+(CB58/0.212)+(CH58/0.55)+(CN58/0.635))</f>
        <v>1</v>
      </c>
      <c r="CU58" s="41">
        <f>(BK58+BQ58+BW58+(CC58/0.212)+(CI58/0.55)+(CO58/0.635))</f>
        <v>7</v>
      </c>
      <c r="CV58" s="41">
        <f>(BL58+BR58+BX58+(CD58/0.212)+(CJ58/0.55)+(CP96/0.635))</f>
        <v>14</v>
      </c>
      <c r="CW58" s="41">
        <f>(BM58+BS58+BY58+(CE58/0.212)+(CK58/0.55)+(CQ58/0.635))</f>
        <v>2</v>
      </c>
      <c r="CX58" s="237">
        <f>(BN58+BT58+BZ58+(CF58/0.212)+(CL58/0.55)+(CR58/0.635))</f>
        <v>6</v>
      </c>
      <c r="CY58" s="41">
        <f aca="true" t="shared" si="60" ref="CY58:DD58">CS58*1000/0.45359237/$B58</f>
        <v>1254.7018935682208</v>
      </c>
      <c r="CZ58" s="41">
        <f t="shared" si="60"/>
        <v>156.8377366960276</v>
      </c>
      <c r="DA58" s="41">
        <f t="shared" si="60"/>
        <v>1097.864156872193</v>
      </c>
      <c r="DB58" s="41">
        <f t="shared" si="60"/>
        <v>2195.728313744386</v>
      </c>
      <c r="DC58" s="41">
        <f t="shared" si="60"/>
        <v>313.6754733920552</v>
      </c>
      <c r="DD58" s="237">
        <f t="shared" si="60"/>
        <v>941.0264201761655</v>
      </c>
      <c r="DE58" s="39">
        <f aca="true" t="shared" si="61" ref="DE58:DP58">AW58-CS58</f>
        <v>228</v>
      </c>
      <c r="DF58" s="39">
        <f t="shared" si="61"/>
        <v>213</v>
      </c>
      <c r="DG58" s="39">
        <f t="shared" si="61"/>
        <v>224</v>
      </c>
      <c r="DH58" s="39">
        <f t="shared" si="61"/>
        <v>705</v>
      </c>
      <c r="DI58" s="39">
        <f t="shared" si="61"/>
        <v>492</v>
      </c>
      <c r="DJ58" s="243">
        <f t="shared" si="61"/>
        <v>392</v>
      </c>
      <c r="DK58" s="39">
        <f t="shared" si="61"/>
        <v>35759.00396669429</v>
      </c>
      <c r="DL58" s="39">
        <f t="shared" si="61"/>
        <v>33406.437916253875</v>
      </c>
      <c r="DM58" s="39">
        <f t="shared" si="61"/>
        <v>35131.653019910176</v>
      </c>
      <c r="DN58" s="39">
        <f t="shared" si="61"/>
        <v>110570.60437069945</v>
      </c>
      <c r="DO58" s="39">
        <f t="shared" si="61"/>
        <v>77164.16645444559</v>
      </c>
      <c r="DP58" s="243">
        <f t="shared" si="61"/>
        <v>61480.39278484281</v>
      </c>
      <c r="DQ58" s="39">
        <f>DK58+Commerical!I58</f>
        <v>134146.1781256487</v>
      </c>
      <c r="DR58" s="39">
        <f>DL58+Commerical!J58</f>
        <v>97361.6581396089</v>
      </c>
      <c r="DS58" s="39">
        <f>DM58+Commerical!K58</f>
        <v>71697.81897631116</v>
      </c>
      <c r="DT58" s="39">
        <f>DN58+Commerical!L58</f>
        <v>155033.35480406642</v>
      </c>
      <c r="DU58" s="39">
        <f>DO58+Commerical!M58</f>
        <v>119563.84526770431</v>
      </c>
      <c r="DV58" s="243">
        <f>DP58+Commerical!N58</f>
        <v>61480.39278484281</v>
      </c>
      <c r="DW58" s="39"/>
      <c r="DX58" s="39"/>
      <c r="DY58" s="38"/>
      <c r="DZ58" s="38"/>
      <c r="EA58" s="546"/>
      <c r="EB58" s="38"/>
      <c r="EC58" s="38"/>
      <c r="ED58" s="38"/>
    </row>
    <row r="59" spans="1:134" ht="13.5">
      <c r="A59" s="88" t="s">
        <v>212</v>
      </c>
      <c r="B59" s="29">
        <f>Commerical!B59</f>
        <v>1.0670828114433333</v>
      </c>
      <c r="C59" s="41"/>
      <c r="E59" s="395"/>
      <c r="F59" s="395"/>
      <c r="G59" s="496"/>
      <c r="H59" s="407"/>
      <c r="I59" s="205"/>
      <c r="J59" s="205"/>
      <c r="K59" s="205"/>
      <c r="L59" s="216"/>
      <c r="M59" s="205"/>
      <c r="N59" s="205"/>
      <c r="O59" s="205"/>
      <c r="P59" s="205"/>
      <c r="Q59" s="205"/>
      <c r="R59" s="271"/>
      <c r="S59" s="205"/>
      <c r="V59" s="205"/>
      <c r="W59" s="205"/>
      <c r="X59" s="216"/>
      <c r="Y59" s="205"/>
      <c r="Z59" s="205"/>
      <c r="AA59" s="205"/>
      <c r="AB59" s="205"/>
      <c r="AC59" s="38"/>
      <c r="AD59" s="41"/>
      <c r="AE59" s="616"/>
      <c r="AF59" s="205"/>
      <c r="AG59" s="205"/>
      <c r="AH59" s="205"/>
      <c r="AI59" s="205"/>
      <c r="AJ59" s="216"/>
      <c r="AK59" s="205"/>
      <c r="AL59" s="205"/>
      <c r="AM59" s="41"/>
      <c r="AN59" s="41"/>
      <c r="AO59" s="41"/>
      <c r="AP59" s="498"/>
      <c r="AQ59" s="39"/>
      <c r="AR59" s="39"/>
      <c r="AS59" s="205"/>
      <c r="AT59" s="205"/>
      <c r="AU59" s="205"/>
      <c r="AV59" s="235"/>
      <c r="AW59" s="41"/>
      <c r="AX59" s="41"/>
      <c r="AY59" s="41"/>
      <c r="AZ59" s="41"/>
      <c r="BA59" s="41"/>
      <c r="BB59" s="237"/>
      <c r="BC59" s="41"/>
      <c r="BD59" s="41"/>
      <c r="BE59" s="210"/>
      <c r="BF59" s="41"/>
      <c r="BG59" s="41"/>
      <c r="BH59" s="224"/>
      <c r="BI59" s="210"/>
      <c r="BJ59" s="210"/>
      <c r="BK59" s="41"/>
      <c r="BL59" s="286"/>
      <c r="BM59" s="286"/>
      <c r="BN59" s="216"/>
      <c r="BO59" s="205"/>
      <c r="BP59" s="205"/>
      <c r="BQ59" s="205"/>
      <c r="BR59" s="205"/>
      <c r="BS59" s="205"/>
      <c r="BT59" s="216"/>
      <c r="BU59" s="205"/>
      <c r="BV59" s="205"/>
      <c r="BW59" s="205"/>
      <c r="BX59" s="205"/>
      <c r="BY59" s="205"/>
      <c r="BZ59" s="235"/>
      <c r="CA59" s="41"/>
      <c r="CB59" s="41"/>
      <c r="CC59" s="205"/>
      <c r="CD59" s="205"/>
      <c r="CE59" s="514"/>
      <c r="CF59" s="216"/>
      <c r="CG59" s="205"/>
      <c r="CH59" s="205"/>
      <c r="CI59" s="39"/>
      <c r="CJ59" s="400"/>
      <c r="CK59" s="286"/>
      <c r="CL59" s="618"/>
      <c r="CM59" s="286"/>
      <c r="CQ59" s="205"/>
      <c r="CR59" s="282"/>
      <c r="CS59" s="205"/>
      <c r="CT59" s="41"/>
      <c r="CU59" s="41"/>
      <c r="CV59" s="41"/>
      <c r="CW59" s="41"/>
      <c r="CX59" s="237"/>
      <c r="CY59" s="41"/>
      <c r="CZ59" s="41"/>
      <c r="DA59" s="39"/>
      <c r="DB59" s="41"/>
      <c r="DC59" s="41"/>
      <c r="DD59" s="224"/>
      <c r="DE59" s="210"/>
      <c r="DF59" s="39"/>
      <c r="DG59" s="39"/>
      <c r="DH59" s="39"/>
      <c r="DI59" s="39"/>
      <c r="DJ59" s="243"/>
      <c r="DK59" s="39"/>
      <c r="DL59" s="39"/>
      <c r="DM59" s="39"/>
      <c r="DN59" s="39"/>
      <c r="DO59" s="39"/>
      <c r="DP59" s="243"/>
      <c r="DQ59" s="39">
        <f>DK59+Commerical!I59</f>
        <v>1073018.8769991302</v>
      </c>
      <c r="DR59" s="39">
        <f>DL59+Commerical!J59</f>
        <v>20399541.410058573</v>
      </c>
      <c r="DS59" s="39">
        <f>DM59+Commerical!K59</f>
        <v>47815408.000983946</v>
      </c>
      <c r="DT59" s="39">
        <f>DN59+Commerical!L59</f>
        <v>44940279.69126051</v>
      </c>
      <c r="DU59" s="39">
        <f>DO59+Commerical!M59</f>
        <v>52780346.0012821</v>
      </c>
      <c r="DV59" s="243">
        <f>DP59+Commerical!N59</f>
        <v>117020908.46267107</v>
      </c>
      <c r="DW59" s="39"/>
      <c r="DX59" s="39"/>
      <c r="DY59" s="38"/>
      <c r="DZ59" s="38"/>
      <c r="EA59" s="546"/>
      <c r="EB59" s="217"/>
      <c r="EC59" s="38"/>
      <c r="ED59" s="488"/>
    </row>
    <row r="60" spans="1:134" ht="12.75">
      <c r="A60" s="88" t="s">
        <v>213</v>
      </c>
      <c r="B60" s="29">
        <f>Commerical!B60</f>
        <v>0.65448230675</v>
      </c>
      <c r="C60" s="41"/>
      <c r="G60" s="618"/>
      <c r="I60" s="205"/>
      <c r="J60" s="205"/>
      <c r="K60" s="205"/>
      <c r="L60" s="216"/>
      <c r="M60" s="205"/>
      <c r="N60" s="205"/>
      <c r="O60" s="205"/>
      <c r="P60" s="205"/>
      <c r="Q60" s="205"/>
      <c r="R60" s="271"/>
      <c r="S60" s="205"/>
      <c r="V60" s="205"/>
      <c r="W60" s="205"/>
      <c r="X60" s="216"/>
      <c r="Y60" s="205"/>
      <c r="Z60" s="205"/>
      <c r="AA60" s="205"/>
      <c r="AB60" s="205"/>
      <c r="AC60" s="38"/>
      <c r="AD60" s="41"/>
      <c r="AE60" s="616"/>
      <c r="AF60" s="205"/>
      <c r="AG60" s="205"/>
      <c r="AH60" s="205"/>
      <c r="AI60" s="205"/>
      <c r="AJ60" s="216"/>
      <c r="AK60" s="205"/>
      <c r="AL60" s="205"/>
      <c r="AM60" s="41"/>
      <c r="AN60" s="41"/>
      <c r="AO60" s="41"/>
      <c r="AP60" s="498"/>
      <c r="AQ60" s="39"/>
      <c r="AR60" s="39"/>
      <c r="AS60" s="205"/>
      <c r="AT60" s="205"/>
      <c r="AU60" s="205"/>
      <c r="AV60" s="235"/>
      <c r="AW60" s="41"/>
      <c r="AX60" s="41"/>
      <c r="AY60" s="41"/>
      <c r="AZ60" s="41"/>
      <c r="BA60" s="41"/>
      <c r="BB60" s="237"/>
      <c r="BC60" s="41"/>
      <c r="BD60" s="41"/>
      <c r="BE60" s="210"/>
      <c r="BF60" s="41"/>
      <c r="BG60" s="41"/>
      <c r="BH60" s="224"/>
      <c r="BI60" s="210"/>
      <c r="BJ60" s="210"/>
      <c r="BK60" s="41"/>
      <c r="BL60" s="286"/>
      <c r="BM60" s="41"/>
      <c r="BN60" s="216"/>
      <c r="BO60" s="205"/>
      <c r="BP60" s="205"/>
      <c r="BQ60" s="205"/>
      <c r="BR60" s="205"/>
      <c r="BS60" s="205"/>
      <c r="BT60" s="216"/>
      <c r="BU60" s="205"/>
      <c r="BV60" s="205"/>
      <c r="BW60" s="205"/>
      <c r="BX60" s="205"/>
      <c r="BY60" s="205"/>
      <c r="BZ60" s="235"/>
      <c r="CA60" s="41"/>
      <c r="CB60" s="41"/>
      <c r="CC60" s="205"/>
      <c r="CD60" s="205"/>
      <c r="CE60" s="400"/>
      <c r="CF60" s="216"/>
      <c r="CG60" s="205"/>
      <c r="CH60" s="205"/>
      <c r="CI60" s="39"/>
      <c r="CJ60" s="286"/>
      <c r="CK60" s="286"/>
      <c r="CL60" s="498"/>
      <c r="CM60" s="39"/>
      <c r="CN60" s="39"/>
      <c r="CO60" s="39"/>
      <c r="CP60" s="205"/>
      <c r="CQ60" s="205"/>
      <c r="CR60" s="282"/>
      <c r="CS60" s="205"/>
      <c r="CT60" s="41"/>
      <c r="CU60" s="41"/>
      <c r="CV60" s="41"/>
      <c r="CW60" s="41"/>
      <c r="CX60" s="237"/>
      <c r="CY60" s="41"/>
      <c r="CZ60" s="41"/>
      <c r="DA60" s="39"/>
      <c r="DB60" s="41"/>
      <c r="DC60" s="41"/>
      <c r="DD60" s="224"/>
      <c r="DE60" s="210"/>
      <c r="DF60" s="39"/>
      <c r="DG60" s="39"/>
      <c r="DH60" s="39"/>
      <c r="DI60" s="39"/>
      <c r="DJ60" s="243"/>
      <c r="DK60" s="39"/>
      <c r="DL60" s="39"/>
      <c r="DM60" s="39"/>
      <c r="DN60" s="39"/>
      <c r="DO60" s="39"/>
      <c r="DP60" s="243"/>
      <c r="DQ60" s="39">
        <f>DK60+Commerical!I60</f>
        <v>4586831.407111985</v>
      </c>
      <c r="DR60" s="39">
        <f>DL60+Commerical!J60</f>
        <v>7240837.454464922</v>
      </c>
      <c r="DS60" s="39">
        <f>DM60+Commerical!K60</f>
        <v>17187630.41259251</v>
      </c>
      <c r="DT60" s="39">
        <f>DN60+Commerical!L60</f>
        <v>12053801.789042788</v>
      </c>
      <c r="DU60" s="39">
        <f>DO60+Commerical!M60</f>
        <v>18336630.152148876</v>
      </c>
      <c r="DV60" s="243">
        <f>DP60+Commerical!N60</f>
        <v>22133524.23831586</v>
      </c>
      <c r="DW60" s="39"/>
      <c r="DX60" s="39"/>
      <c r="DY60" s="38"/>
      <c r="DZ60" s="38"/>
      <c r="EA60" s="546"/>
      <c r="EB60" s="38"/>
      <c r="EC60" s="38"/>
      <c r="ED60" s="38"/>
    </row>
    <row r="61" spans="1:134" ht="12.75">
      <c r="A61" s="88" t="s">
        <v>702</v>
      </c>
      <c r="B61" s="29">
        <f>B6</f>
        <v>1.5933248599264</v>
      </c>
      <c r="C61" s="41"/>
      <c r="E61" s="41"/>
      <c r="F61" s="41"/>
      <c r="G61" s="235"/>
      <c r="H61" s="41"/>
      <c r="I61" s="205"/>
      <c r="J61" s="205"/>
      <c r="K61" s="205"/>
      <c r="L61" s="216"/>
      <c r="M61" s="205"/>
      <c r="N61" s="205"/>
      <c r="O61" s="205"/>
      <c r="P61" s="205"/>
      <c r="Q61" s="205"/>
      <c r="R61" s="271">
        <v>158</v>
      </c>
      <c r="S61" s="205"/>
      <c r="V61" s="205"/>
      <c r="W61" s="205"/>
      <c r="X61" s="216"/>
      <c r="Y61" s="205"/>
      <c r="Z61" s="205"/>
      <c r="AA61" s="205"/>
      <c r="AB61" s="205"/>
      <c r="AC61" s="38"/>
      <c r="AD61" s="41"/>
      <c r="AE61" s="616"/>
      <c r="AF61" s="205"/>
      <c r="AG61" s="205"/>
      <c r="AH61" s="205"/>
      <c r="AI61" s="205"/>
      <c r="AJ61" s="216"/>
      <c r="AK61" s="205"/>
      <c r="AL61" s="205"/>
      <c r="AM61" s="41"/>
      <c r="AN61" s="41"/>
      <c r="AO61" s="41"/>
      <c r="AP61" s="498"/>
      <c r="AQ61" s="39"/>
      <c r="AR61" s="39"/>
      <c r="AS61" s="205"/>
      <c r="AT61" s="205"/>
      <c r="AU61" s="205"/>
      <c r="AV61" s="235"/>
      <c r="AW61" s="41">
        <f t="shared" si="0"/>
        <v>0</v>
      </c>
      <c r="AX61" s="41">
        <f t="shared" si="0"/>
        <v>0</v>
      </c>
      <c r="AY61" s="41">
        <f t="shared" si="1"/>
        <v>0</v>
      </c>
      <c r="AZ61" s="41">
        <f>(F61+K61+P61+V61+AB61+(AH61/0.212)+(AN61/0.55)+(AT61/0.635))</f>
        <v>0</v>
      </c>
      <c r="BA61" s="41">
        <f>(G61+L61+Q61+W61+AC61+(AI61/0.212)+(AO61/0.55)+(AU61/0.635))</f>
        <v>0</v>
      </c>
      <c r="BB61" s="237">
        <f>(R61+X61+AD61+(AJ61/0.212)+(AP61/0.55)+(AV61/0.635))</f>
        <v>158</v>
      </c>
      <c r="BC61" s="41">
        <f aca="true" t="shared" si="62" ref="BC61:BH61">AW61*1000/0.45359237/$B61</f>
        <v>0</v>
      </c>
      <c r="BD61" s="41">
        <f t="shared" si="62"/>
        <v>0</v>
      </c>
      <c r="BE61" s="41">
        <f t="shared" si="62"/>
        <v>0</v>
      </c>
      <c r="BF61" s="41">
        <f t="shared" si="62"/>
        <v>0</v>
      </c>
      <c r="BG61" s="41">
        <f t="shared" si="62"/>
        <v>0</v>
      </c>
      <c r="BH61" s="237">
        <f t="shared" si="62"/>
        <v>218618.55231970517</v>
      </c>
      <c r="BI61" s="41"/>
      <c r="BJ61" s="41"/>
      <c r="BK61" s="41"/>
      <c r="BL61" s="286"/>
      <c r="BM61" s="41"/>
      <c r="BN61" s="216">
        <v>32231</v>
      </c>
      <c r="BO61" s="205"/>
      <c r="BP61" s="205"/>
      <c r="BQ61" s="205"/>
      <c r="BR61" s="205"/>
      <c r="BS61" s="205"/>
      <c r="BT61" s="216"/>
      <c r="BU61" s="205"/>
      <c r="BV61" s="205"/>
      <c r="BW61" s="205"/>
      <c r="BX61" s="205"/>
      <c r="BY61" s="205"/>
      <c r="BZ61" s="235"/>
      <c r="CA61" s="41"/>
      <c r="CB61" s="41"/>
      <c r="CC61" s="205"/>
      <c r="CD61" s="205"/>
      <c r="CE61" s="400"/>
      <c r="CF61" s="216"/>
      <c r="CG61" s="205"/>
      <c r="CH61" s="205"/>
      <c r="CI61" s="39"/>
      <c r="CJ61" s="286"/>
      <c r="CK61" s="286"/>
      <c r="CL61" s="498"/>
      <c r="CM61" s="39"/>
      <c r="CN61" s="39"/>
      <c r="CO61" s="39"/>
      <c r="CP61" s="205"/>
      <c r="CQ61" s="205"/>
      <c r="CR61" s="282"/>
      <c r="CS61" s="41">
        <f aca="true" t="shared" si="63" ref="CS61:CX61">(BI61+BO61+BU61+(CA61/0.212)+(CG61/0.55)+(CM61/0.635))</f>
        <v>0</v>
      </c>
      <c r="CT61" s="41">
        <f t="shared" si="63"/>
        <v>0</v>
      </c>
      <c r="CU61" s="41">
        <f t="shared" si="63"/>
        <v>0</v>
      </c>
      <c r="CV61" s="41">
        <f t="shared" si="63"/>
        <v>0</v>
      </c>
      <c r="CW61" s="41">
        <f t="shared" si="63"/>
        <v>0</v>
      </c>
      <c r="CX61" s="237">
        <f t="shared" si="63"/>
        <v>32231</v>
      </c>
      <c r="CY61" s="41">
        <f aca="true" t="shared" si="64" ref="CY61:DD61">CS61*1000/0.45359237/$B61</f>
        <v>0</v>
      </c>
      <c r="CZ61" s="41">
        <f t="shared" si="64"/>
        <v>0</v>
      </c>
      <c r="DA61" s="41">
        <f t="shared" si="64"/>
        <v>0</v>
      </c>
      <c r="DB61" s="41">
        <f t="shared" si="64"/>
        <v>0</v>
      </c>
      <c r="DC61" s="41">
        <f t="shared" si="64"/>
        <v>0</v>
      </c>
      <c r="DD61" s="237">
        <f t="shared" si="64"/>
        <v>44596801.011496305</v>
      </c>
      <c r="DE61" s="39">
        <f aca="true" t="shared" si="65" ref="DE61:DP61">AW61-CS61</f>
        <v>0</v>
      </c>
      <c r="DF61" s="39">
        <f t="shared" si="65"/>
        <v>0</v>
      </c>
      <c r="DG61" s="39">
        <f t="shared" si="65"/>
        <v>0</v>
      </c>
      <c r="DH61" s="39">
        <f t="shared" si="65"/>
        <v>0</v>
      </c>
      <c r="DI61" s="39">
        <f t="shared" si="65"/>
        <v>0</v>
      </c>
      <c r="DJ61" s="243">
        <f t="shared" si="65"/>
        <v>-32073</v>
      </c>
      <c r="DK61" s="39">
        <f t="shared" si="65"/>
        <v>0</v>
      </c>
      <c r="DL61" s="39">
        <f t="shared" si="65"/>
        <v>0</v>
      </c>
      <c r="DM61" s="39">
        <f t="shared" si="65"/>
        <v>0</v>
      </c>
      <c r="DN61" s="39">
        <f t="shared" si="65"/>
        <v>0</v>
      </c>
      <c r="DO61" s="39">
        <f t="shared" si="65"/>
        <v>0</v>
      </c>
      <c r="DP61" s="243">
        <f t="shared" si="65"/>
        <v>-44378182.4591766</v>
      </c>
      <c r="DQ61" s="39">
        <f>DK61+Commerical!I61</f>
        <v>0</v>
      </c>
      <c r="DR61" s="39">
        <f>DL61+Commerical!J61</f>
        <v>0</v>
      </c>
      <c r="DS61" s="39">
        <f>DM61+Commerical!K61</f>
        <v>0</v>
      </c>
      <c r="DT61" s="39">
        <f>DN61+Commerical!L61</f>
        <v>0</v>
      </c>
      <c r="DU61" s="39">
        <f>DO61+Commerical!M61</f>
        <v>0</v>
      </c>
      <c r="DV61" s="243">
        <f>DP61+Commerical!N61</f>
        <v>-44378182.4591766</v>
      </c>
      <c r="DW61" s="39"/>
      <c r="DX61" s="39"/>
      <c r="DY61" s="38"/>
      <c r="DZ61" s="38"/>
      <c r="EA61" s="546"/>
      <c r="EB61" s="38"/>
      <c r="EC61" s="38"/>
      <c r="ED61" s="38"/>
    </row>
    <row r="62" spans="1:134" ht="12.75">
      <c r="A62" s="88" t="s">
        <v>214</v>
      </c>
      <c r="B62" s="29">
        <f>Commerical!B62</f>
        <v>12.56355655</v>
      </c>
      <c r="C62" s="41"/>
      <c r="E62" s="41"/>
      <c r="F62" s="41"/>
      <c r="G62" s="235"/>
      <c r="H62" s="41"/>
      <c r="I62" s="205"/>
      <c r="J62" s="205"/>
      <c r="K62" s="205"/>
      <c r="L62" s="216"/>
      <c r="M62" s="205"/>
      <c r="N62" s="205"/>
      <c r="O62" s="205"/>
      <c r="P62" s="205"/>
      <c r="Q62" s="205"/>
      <c r="R62" s="271"/>
      <c r="S62" s="205"/>
      <c r="V62" s="205"/>
      <c r="W62" s="205"/>
      <c r="X62" s="216"/>
      <c r="Y62" s="205"/>
      <c r="Z62" s="205"/>
      <c r="AA62" s="205"/>
      <c r="AB62" s="205"/>
      <c r="AC62" s="38"/>
      <c r="AD62" s="41"/>
      <c r="AE62" s="616"/>
      <c r="AF62" s="205"/>
      <c r="AG62" s="205"/>
      <c r="AH62" s="205"/>
      <c r="AI62" s="205"/>
      <c r="AJ62" s="216"/>
      <c r="AK62" s="205"/>
      <c r="AL62" s="205"/>
      <c r="AM62" s="41"/>
      <c r="AN62" s="41"/>
      <c r="AO62" s="41"/>
      <c r="AP62" s="498"/>
      <c r="AQ62" s="39"/>
      <c r="AR62" s="39"/>
      <c r="AS62" s="205"/>
      <c r="AT62" s="205"/>
      <c r="AU62" s="205"/>
      <c r="AV62" s="235"/>
      <c r="AW62" s="41"/>
      <c r="AX62" s="41"/>
      <c r="AY62" s="41"/>
      <c r="AZ62" s="41"/>
      <c r="BA62" s="41"/>
      <c r="BB62" s="237"/>
      <c r="BC62" s="41"/>
      <c r="BD62" s="41"/>
      <c r="BE62" s="210"/>
      <c r="BF62" s="41"/>
      <c r="BG62" s="41"/>
      <c r="BH62" s="224"/>
      <c r="BI62" s="210"/>
      <c r="BJ62" s="210"/>
      <c r="BK62" s="41"/>
      <c r="BL62" s="286"/>
      <c r="BM62" s="41"/>
      <c r="BN62" s="216"/>
      <c r="BO62" s="205"/>
      <c r="BP62" s="205"/>
      <c r="BQ62" s="205"/>
      <c r="BR62" s="205"/>
      <c r="BS62" s="205"/>
      <c r="BT62" s="216"/>
      <c r="BU62" s="205"/>
      <c r="BV62" s="205"/>
      <c r="BW62" s="205"/>
      <c r="BX62" s="205"/>
      <c r="BY62" s="205"/>
      <c r="BZ62" s="235"/>
      <c r="CA62" s="41"/>
      <c r="CB62" s="41"/>
      <c r="CC62" s="205"/>
      <c r="CD62" s="205"/>
      <c r="CE62" s="400"/>
      <c r="CF62" s="216"/>
      <c r="CG62" s="205"/>
      <c r="CH62" s="205"/>
      <c r="CI62" s="39"/>
      <c r="CJ62" s="286"/>
      <c r="CK62" s="286"/>
      <c r="CL62" s="498"/>
      <c r="CM62" s="39"/>
      <c r="CN62" s="39"/>
      <c r="CO62" s="39"/>
      <c r="CP62" s="205"/>
      <c r="CQ62" s="205"/>
      <c r="CR62" s="282"/>
      <c r="CS62" s="205"/>
      <c r="CT62" s="41"/>
      <c r="CU62" s="41"/>
      <c r="CV62" s="41"/>
      <c r="CW62" s="41"/>
      <c r="CX62" s="237"/>
      <c r="CY62" s="41"/>
      <c r="CZ62" s="41"/>
      <c r="DA62" s="39"/>
      <c r="DB62" s="41"/>
      <c r="DC62" s="41"/>
      <c r="DD62" s="224"/>
      <c r="DE62" s="210"/>
      <c r="DF62" s="39"/>
      <c r="DG62" s="39"/>
      <c r="DH62" s="39"/>
      <c r="DI62" s="39"/>
      <c r="DJ62" s="243"/>
      <c r="DK62" s="39"/>
      <c r="DL62" s="39"/>
      <c r="DM62" s="39"/>
      <c r="DN62" s="39"/>
      <c r="DO62" s="39"/>
      <c r="DP62" s="243"/>
      <c r="DQ62" s="39">
        <f>DK62+Commerical!I62</f>
        <v>458070.9273760542</v>
      </c>
      <c r="DR62" s="39">
        <f>DL62+Commerical!J62</f>
        <v>524135.02289684047</v>
      </c>
      <c r="DS62" s="39">
        <f>DM62+Commerical!K62</f>
        <v>621400.4743744319</v>
      </c>
      <c r="DT62" s="39">
        <f>DN62+Commerical!L62</f>
        <v>528512.7641662902</v>
      </c>
      <c r="DU62" s="39">
        <f>DO62+Commerical!M62</f>
        <v>491182.5704322555</v>
      </c>
      <c r="DV62" s="243">
        <f>DP62+Commerical!N62</f>
        <v>452340.06607786554</v>
      </c>
      <c r="DW62" s="39"/>
      <c r="DX62" s="39"/>
      <c r="DY62" s="38"/>
      <c r="DZ62" s="38"/>
      <c r="EA62" s="546"/>
      <c r="EB62" s="38"/>
      <c r="EC62" s="38"/>
      <c r="ED62" s="38"/>
    </row>
    <row r="63" spans="1:134" ht="12.75">
      <c r="A63" s="88" t="s">
        <v>215</v>
      </c>
      <c r="B63" s="29">
        <f>Commerical!B63</f>
        <v>2.1305719359974997</v>
      </c>
      <c r="C63" s="41"/>
      <c r="D63" s="41"/>
      <c r="E63" s="41"/>
      <c r="F63" s="41"/>
      <c r="G63" s="235"/>
      <c r="H63" s="41"/>
      <c r="I63" s="205"/>
      <c r="J63" s="205"/>
      <c r="K63" s="205"/>
      <c r="L63" s="216"/>
      <c r="M63" s="205"/>
      <c r="N63" s="205"/>
      <c r="O63" s="205"/>
      <c r="P63" s="205"/>
      <c r="Q63" s="205"/>
      <c r="R63" s="271"/>
      <c r="S63" s="205"/>
      <c r="V63" s="205"/>
      <c r="W63" s="205"/>
      <c r="X63" s="216"/>
      <c r="Y63" s="205"/>
      <c r="Z63" s="205"/>
      <c r="AA63" s="205"/>
      <c r="AB63" s="205"/>
      <c r="AC63" s="38"/>
      <c r="AD63" s="41"/>
      <c r="AE63" s="616"/>
      <c r="AF63" s="205"/>
      <c r="AG63" s="205"/>
      <c r="AH63" s="205"/>
      <c r="AI63" s="205"/>
      <c r="AJ63" s="216"/>
      <c r="AK63" s="205"/>
      <c r="AL63" s="205"/>
      <c r="AM63" s="41"/>
      <c r="AN63" s="41"/>
      <c r="AO63" s="41"/>
      <c r="AP63" s="498"/>
      <c r="AQ63" s="39"/>
      <c r="AR63" s="39"/>
      <c r="AS63" s="205"/>
      <c r="AT63" s="205"/>
      <c r="AU63" s="205"/>
      <c r="AV63" s="235"/>
      <c r="AW63" s="41"/>
      <c r="AX63" s="41"/>
      <c r="AY63" s="41"/>
      <c r="AZ63" s="41"/>
      <c r="BA63" s="41"/>
      <c r="BB63" s="237"/>
      <c r="BC63" s="41"/>
      <c r="BD63" s="41"/>
      <c r="BE63" s="210"/>
      <c r="BF63" s="41"/>
      <c r="BG63" s="41"/>
      <c r="BH63" s="224"/>
      <c r="BI63" s="210"/>
      <c r="BJ63" s="210"/>
      <c r="BK63" s="41"/>
      <c r="BL63" s="286"/>
      <c r="BM63" s="41"/>
      <c r="BN63" s="216"/>
      <c r="BO63" s="205"/>
      <c r="BP63" s="205"/>
      <c r="BQ63" s="205"/>
      <c r="BR63" s="205"/>
      <c r="BS63" s="205"/>
      <c r="BT63" s="216"/>
      <c r="BU63" s="205"/>
      <c r="BV63" s="205"/>
      <c r="BW63" s="205"/>
      <c r="BX63" s="205"/>
      <c r="BY63" s="205"/>
      <c r="BZ63" s="235"/>
      <c r="CA63" s="41"/>
      <c r="CB63" s="41"/>
      <c r="CC63" s="205"/>
      <c r="CD63" s="205"/>
      <c r="CE63" s="400"/>
      <c r="CF63" s="216"/>
      <c r="CG63" s="205"/>
      <c r="CH63" s="205"/>
      <c r="CI63" s="39"/>
      <c r="CJ63" s="286"/>
      <c r="CK63" s="286"/>
      <c r="CL63" s="498"/>
      <c r="CM63" s="39"/>
      <c r="CN63" s="39"/>
      <c r="CO63" s="39"/>
      <c r="CP63" s="205"/>
      <c r="CQ63" s="205"/>
      <c r="CR63" s="282"/>
      <c r="CS63" s="205"/>
      <c r="CT63" s="41"/>
      <c r="CU63" s="41"/>
      <c r="CV63" s="41"/>
      <c r="CW63" s="41"/>
      <c r="CX63" s="237"/>
      <c r="CY63" s="41"/>
      <c r="CZ63" s="41"/>
      <c r="DA63" s="39"/>
      <c r="DB63" s="41"/>
      <c r="DC63" s="41"/>
      <c r="DD63" s="224"/>
      <c r="DE63" s="210"/>
      <c r="DF63" s="39"/>
      <c r="DG63" s="39"/>
      <c r="DH63" s="39"/>
      <c r="DI63" s="39"/>
      <c r="DJ63" s="243"/>
      <c r="DK63" s="39"/>
      <c r="DL63" s="39"/>
      <c r="DM63" s="39"/>
      <c r="DN63" s="39"/>
      <c r="DO63" s="39"/>
      <c r="DP63" s="243"/>
      <c r="DQ63" s="39">
        <f>DK63+Commerical!I63</f>
        <v>2673460.540694311</v>
      </c>
      <c r="DR63" s="39">
        <f>DL63+Commerical!J63</f>
        <v>2717110.791797641</v>
      </c>
      <c r="DS63" s="39">
        <f>DM63+Commerical!K63</f>
        <v>2617606.9935835972</v>
      </c>
      <c r="DT63" s="39">
        <f>DN63+Commerical!L63</f>
        <v>1944548.2830225648</v>
      </c>
      <c r="DU63" s="39">
        <f>DO63+Commerical!M63</f>
        <v>2236958.029661005</v>
      </c>
      <c r="DV63" s="243">
        <f>DP63+Commerical!N63</f>
        <v>2477269.089498696</v>
      </c>
      <c r="DW63" s="39"/>
      <c r="DX63" s="39"/>
      <c r="DY63" s="38"/>
      <c r="DZ63" s="38"/>
      <c r="EA63" s="546"/>
      <c r="EB63" s="38"/>
      <c r="EC63" s="38"/>
      <c r="ED63" s="38"/>
    </row>
    <row r="64" spans="1:134" ht="12.75">
      <c r="A64" s="88" t="s">
        <v>636</v>
      </c>
      <c r="B64" s="29">
        <f>SUM(Commerical!C59:H63,Commerical!C6:H6)*1000/SUM(Commerical!I6:N6,Commerical!I59:N63)</f>
        <v>1.3849833895183794</v>
      </c>
      <c r="C64" s="41">
        <v>9155</v>
      </c>
      <c r="D64" s="41">
        <v>10370</v>
      </c>
      <c r="E64" s="397">
        <v>7153</v>
      </c>
      <c r="F64" s="397">
        <v>6785</v>
      </c>
      <c r="G64" s="495">
        <v>6539</v>
      </c>
      <c r="H64" s="401"/>
      <c r="I64" s="205"/>
      <c r="J64" s="205"/>
      <c r="K64" s="205"/>
      <c r="L64" s="216"/>
      <c r="M64" s="205"/>
      <c r="N64" s="205"/>
      <c r="O64" s="205"/>
      <c r="P64" s="205"/>
      <c r="Q64" s="205"/>
      <c r="R64" s="271">
        <v>7660</v>
      </c>
      <c r="S64" s="205"/>
      <c r="T64" s="205"/>
      <c r="U64" s="205"/>
      <c r="V64" s="205"/>
      <c r="W64" s="205"/>
      <c r="X64" s="216"/>
      <c r="Y64" s="205">
        <v>12471</v>
      </c>
      <c r="Z64" s="205">
        <v>8830</v>
      </c>
      <c r="AA64" s="205">
        <v>10259</v>
      </c>
      <c r="AB64" s="397">
        <v>10759</v>
      </c>
      <c r="AC64" s="397">
        <v>9904</v>
      </c>
      <c r="AD64" s="41">
        <v>10445</v>
      </c>
      <c r="AE64" s="616"/>
      <c r="AF64" s="205"/>
      <c r="AG64" s="205"/>
      <c r="AH64" s="205"/>
      <c r="AI64" s="205"/>
      <c r="AJ64" s="216"/>
      <c r="AK64" s="205">
        <v>856</v>
      </c>
      <c r="AL64" s="205">
        <v>763</v>
      </c>
      <c r="AM64" s="401">
        <v>949</v>
      </c>
      <c r="AN64" s="401">
        <v>1047</v>
      </c>
      <c r="AO64" s="400">
        <v>950</v>
      </c>
      <c r="AP64" s="498">
        <v>1026</v>
      </c>
      <c r="AQ64" s="39">
        <v>183</v>
      </c>
      <c r="AR64" s="39">
        <v>216</v>
      </c>
      <c r="AS64" s="400">
        <v>160</v>
      </c>
      <c r="AT64" s="400">
        <v>114</v>
      </c>
      <c r="AU64" s="400">
        <v>159</v>
      </c>
      <c r="AV64" s="235" t="s">
        <v>714</v>
      </c>
      <c r="AW64" s="41">
        <f t="shared" si="0"/>
        <v>23470.55261274159</v>
      </c>
      <c r="AX64" s="41">
        <f t="shared" si="0"/>
        <v>20927.430207587688</v>
      </c>
      <c r="AY64" s="41">
        <f t="shared" si="1"/>
        <v>19389.423049391553</v>
      </c>
      <c r="AZ64" s="41">
        <f>(F64+K64+P64+V64+AB64+(AH64/0.212)+(AN64/0.55)+(AT64/0.635))</f>
        <v>19627.16392269148</v>
      </c>
      <c r="BA64" s="41">
        <f>(G64+L64+Q64+W64+AC64+(AI64/0.212)+(AO64/0.55)+(AU64/0.635))</f>
        <v>18420.66642806013</v>
      </c>
      <c r="BB64" s="237">
        <f>(R64+X64+AD64+(AJ64/0.212)+(AP64/0.55)+(AV64/0.635))</f>
        <v>20283.840372226197</v>
      </c>
      <c r="BC64" s="41">
        <f aca="true" t="shared" si="66" ref="BC64:BH64">AW64*1000/0.45359237/$B64</f>
        <v>37360528.38535168</v>
      </c>
      <c r="BD64" s="41">
        <f t="shared" si="66"/>
        <v>33312375.00895456</v>
      </c>
      <c r="BE64" s="41">
        <f t="shared" si="66"/>
        <v>30864168.482301805</v>
      </c>
      <c r="BF64" s="41">
        <f t="shared" si="66"/>
        <v>31242605.445070993</v>
      </c>
      <c r="BG64" s="41">
        <f t="shared" si="66"/>
        <v>29322097.451980107</v>
      </c>
      <c r="BH64" s="237">
        <f t="shared" si="66"/>
        <v>32287905.89187491</v>
      </c>
      <c r="BI64" s="41">
        <v>2496</v>
      </c>
      <c r="BJ64" s="41">
        <v>10340</v>
      </c>
      <c r="BK64" s="41">
        <v>16719</v>
      </c>
      <c r="BL64" s="401">
        <v>26354</v>
      </c>
      <c r="BM64" s="401">
        <v>29156</v>
      </c>
      <c r="BN64" s="216">
        <v>49413</v>
      </c>
      <c r="BO64" s="205"/>
      <c r="BP64" s="205"/>
      <c r="BQ64" s="205"/>
      <c r="BR64" s="205"/>
      <c r="BS64" s="205"/>
      <c r="BT64" s="216"/>
      <c r="BU64" s="205">
        <v>83</v>
      </c>
      <c r="BV64" s="205">
        <v>229</v>
      </c>
      <c r="BW64" s="205">
        <v>431</v>
      </c>
      <c r="BX64" s="400">
        <v>772</v>
      </c>
      <c r="BY64" s="401">
        <v>1224</v>
      </c>
      <c r="BZ64" s="235">
        <v>6445</v>
      </c>
      <c r="CA64" s="41"/>
      <c r="CB64" s="41"/>
      <c r="CC64" s="205"/>
      <c r="CD64" s="205"/>
      <c r="CE64" s="400"/>
      <c r="CF64" s="216"/>
      <c r="CG64" s="205"/>
      <c r="CH64" s="205"/>
      <c r="CI64" s="39"/>
      <c r="CJ64" s="286"/>
      <c r="CK64" s="286"/>
      <c r="CL64" s="498"/>
      <c r="CM64" s="39"/>
      <c r="CN64" s="39"/>
      <c r="CO64" s="39"/>
      <c r="CP64" s="205"/>
      <c r="CQ64" s="205"/>
      <c r="CR64" s="282"/>
      <c r="CS64" s="41">
        <f aca="true" t="shared" si="67" ref="CS64:CX64">(BI64+BO64+BU64+(CA64/0.212)+(CG64/0.55)+(CM64/0.635))</f>
        <v>2579</v>
      </c>
      <c r="CT64" s="41">
        <f t="shared" si="67"/>
        <v>10569</v>
      </c>
      <c r="CU64" s="41">
        <f t="shared" si="67"/>
        <v>17150</v>
      </c>
      <c r="CV64" s="41">
        <f t="shared" si="67"/>
        <v>27126</v>
      </c>
      <c r="CW64" s="41">
        <f t="shared" si="67"/>
        <v>30380</v>
      </c>
      <c r="CX64" s="237">
        <f t="shared" si="67"/>
        <v>55858</v>
      </c>
      <c r="CY64" s="41">
        <f aca="true" t="shared" si="68" ref="CY64:DD64">CS64*1000/0.45359237/$B64</f>
        <v>4105263.4889182113</v>
      </c>
      <c r="CZ64" s="41">
        <f t="shared" si="68"/>
        <v>16823780.46311616</v>
      </c>
      <c r="DA64" s="41">
        <f t="shared" si="68"/>
        <v>27299445.06977407</v>
      </c>
      <c r="DB64" s="41">
        <f t="shared" si="68"/>
        <v>43179285.53718317</v>
      </c>
      <c r="DC64" s="41">
        <f t="shared" si="68"/>
        <v>48359016.98074263</v>
      </c>
      <c r="DD64" s="237">
        <f t="shared" si="68"/>
        <v>88915008.9042239</v>
      </c>
      <c r="DE64" s="39">
        <f aca="true" t="shared" si="69" ref="DE64:DP64">AW64-CS64</f>
        <v>20891.55261274159</v>
      </c>
      <c r="DF64" s="39">
        <f t="shared" si="69"/>
        <v>10358.430207587688</v>
      </c>
      <c r="DG64" s="39">
        <f t="shared" si="69"/>
        <v>2239.423049391553</v>
      </c>
      <c r="DH64" s="39">
        <f t="shared" si="69"/>
        <v>-7498.836077308519</v>
      </c>
      <c r="DI64" s="39">
        <f t="shared" si="69"/>
        <v>-11959.333571939871</v>
      </c>
      <c r="DJ64" s="243">
        <f t="shared" si="69"/>
        <v>-35574.1596277738</v>
      </c>
      <c r="DK64" s="39">
        <f t="shared" si="69"/>
        <v>33255264.89643347</v>
      </c>
      <c r="DL64" s="39">
        <f t="shared" si="69"/>
        <v>16488594.545838397</v>
      </c>
      <c r="DM64" s="39">
        <f t="shared" si="69"/>
        <v>3564723.4125277363</v>
      </c>
      <c r="DN64" s="39">
        <f t="shared" si="69"/>
        <v>-11936680.09211218</v>
      </c>
      <c r="DO64" s="39">
        <f t="shared" si="69"/>
        <v>-19036919.528762527</v>
      </c>
      <c r="DP64" s="243">
        <f t="shared" si="69"/>
        <v>-56627103.012348995</v>
      </c>
      <c r="DQ64" s="39">
        <f>DK64+Commerical!I64</f>
        <v>33255264.89643347</v>
      </c>
      <c r="DR64" s="39">
        <f>DL64+Commerical!J64</f>
        <v>16488594.545838397</v>
      </c>
      <c r="DS64" s="39">
        <f>DM64+Commerical!K64</f>
        <v>3564723.4125277363</v>
      </c>
      <c r="DT64" s="39">
        <f>DN64+Commerical!L64</f>
        <v>-11936680.09211218</v>
      </c>
      <c r="DU64" s="39">
        <f>DO64+Commerical!M64</f>
        <v>-19036919.528762527</v>
      </c>
      <c r="DV64" s="243">
        <f>DP64+Commerical!N64</f>
        <v>-56627103.012348995</v>
      </c>
      <c r="DW64" s="39"/>
      <c r="DX64" s="39"/>
      <c r="DY64" s="39"/>
      <c r="DZ64" s="38"/>
      <c r="EA64" s="546"/>
      <c r="EB64" s="38"/>
      <c r="EC64" s="38"/>
      <c r="ED64" s="38"/>
    </row>
    <row r="65" spans="1:134" ht="13.5">
      <c r="A65" s="88" t="s">
        <v>216</v>
      </c>
      <c r="B65" s="29">
        <f>Commerical!B65</f>
        <v>0.5773905909343334</v>
      </c>
      <c r="C65" s="41"/>
      <c r="E65" s="41"/>
      <c r="F65" s="41"/>
      <c r="G65" s="235"/>
      <c r="H65" s="41"/>
      <c r="I65" s="205"/>
      <c r="J65" s="205"/>
      <c r="K65" s="205"/>
      <c r="L65" s="216"/>
      <c r="M65" s="205"/>
      <c r="N65" s="205"/>
      <c r="O65" s="205"/>
      <c r="P65" s="205"/>
      <c r="Q65" s="205"/>
      <c r="R65" s="271"/>
      <c r="S65" s="205"/>
      <c r="T65" s="205"/>
      <c r="U65" s="205"/>
      <c r="V65" s="205"/>
      <c r="W65" s="205"/>
      <c r="X65" s="216"/>
      <c r="Y65" s="205"/>
      <c r="Z65" s="205"/>
      <c r="AA65" s="205"/>
      <c r="AB65" s="205"/>
      <c r="AC65" s="38"/>
      <c r="AD65" s="41"/>
      <c r="AE65" s="616"/>
      <c r="AF65" s="205"/>
      <c r="AG65" s="205"/>
      <c r="AH65" s="205"/>
      <c r="AI65" s="205"/>
      <c r="AJ65" s="216"/>
      <c r="AK65" s="205"/>
      <c r="AL65" s="205"/>
      <c r="AM65" s="41"/>
      <c r="AN65" s="41"/>
      <c r="AO65" s="41"/>
      <c r="AP65" s="498"/>
      <c r="AQ65" s="39"/>
      <c r="AR65" s="39"/>
      <c r="AS65" s="286"/>
      <c r="AT65" s="286"/>
      <c r="AU65" s="286"/>
      <c r="AV65" s="235"/>
      <c r="AW65" s="41"/>
      <c r="AX65" s="41"/>
      <c r="AY65" s="41"/>
      <c r="AZ65" s="41"/>
      <c r="BA65" s="41"/>
      <c r="BB65" s="237"/>
      <c r="BC65" s="41"/>
      <c r="BD65" s="41"/>
      <c r="BE65" s="210"/>
      <c r="BF65" s="41"/>
      <c r="BG65" s="41"/>
      <c r="BH65" s="224"/>
      <c r="BI65" s="210"/>
      <c r="BJ65" s="210"/>
      <c r="BK65" s="41"/>
      <c r="BL65" s="286"/>
      <c r="BM65" s="41"/>
      <c r="BN65" s="216"/>
      <c r="BO65" s="205"/>
      <c r="BP65" s="205"/>
      <c r="BQ65" s="205"/>
      <c r="BR65" s="205"/>
      <c r="BS65" s="205"/>
      <c r="BT65" s="216"/>
      <c r="BU65" s="205"/>
      <c r="BV65" s="205"/>
      <c r="BW65" s="205"/>
      <c r="BX65" s="205"/>
      <c r="BY65" s="205"/>
      <c r="BZ65" s="235"/>
      <c r="CA65" s="41"/>
      <c r="CB65" s="41"/>
      <c r="CC65" s="205"/>
      <c r="CD65" s="205"/>
      <c r="CE65" s="515"/>
      <c r="CF65" s="216"/>
      <c r="CG65" s="205"/>
      <c r="CH65" s="205"/>
      <c r="CI65" s="39"/>
      <c r="CJ65" s="407"/>
      <c r="CK65" s="407"/>
      <c r="CL65" s="498"/>
      <c r="CM65" s="39"/>
      <c r="CN65" s="39"/>
      <c r="CO65" s="39"/>
      <c r="CP65" s="205"/>
      <c r="CQ65" s="205"/>
      <c r="CR65" s="282"/>
      <c r="CS65" s="205"/>
      <c r="CT65" s="41"/>
      <c r="CU65" s="41"/>
      <c r="CV65" s="41"/>
      <c r="CW65" s="41"/>
      <c r="CX65" s="237"/>
      <c r="CY65" s="41"/>
      <c r="CZ65" s="41"/>
      <c r="DA65" s="39"/>
      <c r="DB65" s="41"/>
      <c r="DC65" s="41"/>
      <c r="DD65" s="224"/>
      <c r="DE65" s="210"/>
      <c r="DF65" s="39"/>
      <c r="DG65" s="39"/>
      <c r="DH65" s="39"/>
      <c r="DI65" s="39"/>
      <c r="DJ65" s="243"/>
      <c r="DK65" s="39"/>
      <c r="DL65" s="39"/>
      <c r="DM65" s="39"/>
      <c r="DN65" s="39"/>
      <c r="DO65" s="39"/>
      <c r="DP65" s="243"/>
      <c r="DQ65" s="39">
        <f>DK65+Commerical!I65</f>
        <v>867272532.4284871</v>
      </c>
      <c r="DR65" s="39">
        <f>DL65+Commerical!J65</f>
        <v>874240086.2181842</v>
      </c>
      <c r="DS65" s="39">
        <f>DM65+Commerical!K65</f>
        <v>695714489.1293963</v>
      </c>
      <c r="DT65" s="39">
        <f>DN65+Commerical!L65</f>
        <v>716837105.5895371</v>
      </c>
      <c r="DU65" s="39">
        <f>DO65+Commerical!M65</f>
        <v>828515406.2276809</v>
      </c>
      <c r="DV65" s="243">
        <f>DP65+Commerical!N65</f>
        <v>702008322.2071391</v>
      </c>
      <c r="DW65" s="138"/>
      <c r="DX65" s="213"/>
      <c r="DY65" s="38"/>
      <c r="DZ65" s="38"/>
      <c r="EA65" s="547"/>
      <c r="EB65" s="38"/>
      <c r="EC65" s="38"/>
      <c r="ED65" s="38"/>
    </row>
    <row r="66" spans="1:134" ht="13.5">
      <c r="A66" s="88" t="s">
        <v>217</v>
      </c>
      <c r="B66" s="29">
        <f>Commerical!B66</f>
        <v>0.3707029744827821</v>
      </c>
      <c r="C66" s="41"/>
      <c r="E66" s="41"/>
      <c r="F66" s="41"/>
      <c r="G66" s="235"/>
      <c r="H66" s="41"/>
      <c r="I66" s="205"/>
      <c r="J66" s="205"/>
      <c r="K66" s="205"/>
      <c r="L66" s="494"/>
      <c r="M66" s="401"/>
      <c r="N66" s="205"/>
      <c r="O66" s="205"/>
      <c r="P66" s="205"/>
      <c r="Q66" s="398"/>
      <c r="R66" s="271"/>
      <c r="S66" s="205"/>
      <c r="T66" s="205"/>
      <c r="U66" s="205"/>
      <c r="V66" s="398"/>
      <c r="W66" s="398"/>
      <c r="X66" s="216"/>
      <c r="Y66" s="205"/>
      <c r="Z66" s="205"/>
      <c r="AA66" s="205"/>
      <c r="AB66" s="38"/>
      <c r="AC66" s="38"/>
      <c r="AD66" s="41"/>
      <c r="AE66" s="616"/>
      <c r="AF66" s="205"/>
      <c r="AG66" s="205"/>
      <c r="AH66" s="205"/>
      <c r="AI66" s="205"/>
      <c r="AJ66" s="216"/>
      <c r="AK66" s="205"/>
      <c r="AL66" s="205"/>
      <c r="AM66" s="41"/>
      <c r="AN66" s="41"/>
      <c r="AO66" s="41"/>
      <c r="AP66" s="498"/>
      <c r="AQ66" s="39"/>
      <c r="AR66" s="39"/>
      <c r="AS66" s="286"/>
      <c r="AT66" s="286"/>
      <c r="AU66" s="286"/>
      <c r="AV66" s="235"/>
      <c r="AW66" s="41"/>
      <c r="AX66" s="41"/>
      <c r="AY66" s="41"/>
      <c r="AZ66" s="41"/>
      <c r="BA66" s="41"/>
      <c r="BB66" s="237"/>
      <c r="BC66" s="41"/>
      <c r="BD66" s="41"/>
      <c r="BE66" s="210"/>
      <c r="BF66" s="41"/>
      <c r="BG66" s="41"/>
      <c r="BH66" s="224"/>
      <c r="BI66" s="210"/>
      <c r="BJ66" s="210"/>
      <c r="BK66" s="41"/>
      <c r="BL66" s="286"/>
      <c r="BM66" s="41"/>
      <c r="BN66" s="216"/>
      <c r="BO66" s="205"/>
      <c r="BP66" s="205"/>
      <c r="BQ66" s="205"/>
      <c r="BR66" s="205"/>
      <c r="BS66" s="205"/>
      <c r="BT66" s="216"/>
      <c r="BU66" s="205"/>
      <c r="BV66" s="205"/>
      <c r="BW66" s="205"/>
      <c r="BX66" s="205"/>
      <c r="BY66" s="205"/>
      <c r="BZ66" s="235"/>
      <c r="CA66" s="41"/>
      <c r="CB66" s="41"/>
      <c r="CC66" s="205"/>
      <c r="CD66" s="205"/>
      <c r="CE66" s="400"/>
      <c r="CF66" s="216"/>
      <c r="CG66" s="205"/>
      <c r="CH66" s="205"/>
      <c r="CI66" s="39"/>
      <c r="CJ66" s="286"/>
      <c r="CK66" s="286"/>
      <c r="CL66" s="498"/>
      <c r="CM66" s="39"/>
      <c r="CN66" s="39"/>
      <c r="CO66" s="39"/>
      <c r="CP66" s="205"/>
      <c r="CQ66" s="205"/>
      <c r="CR66" s="282"/>
      <c r="CS66" s="205"/>
      <c r="CT66" s="41"/>
      <c r="CU66" s="41"/>
      <c r="CV66" s="41"/>
      <c r="CW66" s="41"/>
      <c r="CX66" s="237"/>
      <c r="CY66" s="41"/>
      <c r="CZ66" s="41"/>
      <c r="DA66" s="39"/>
      <c r="DB66" s="41"/>
      <c r="DC66" s="41"/>
      <c r="DD66" s="224"/>
      <c r="DE66" s="210"/>
      <c r="DF66" s="39"/>
      <c r="DG66" s="39"/>
      <c r="DH66" s="39"/>
      <c r="DI66" s="39"/>
      <c r="DJ66" s="243"/>
      <c r="DK66" s="39"/>
      <c r="DL66" s="39"/>
      <c r="DM66" s="39"/>
      <c r="DN66" s="39"/>
      <c r="DO66" s="39"/>
      <c r="DP66" s="243"/>
      <c r="DQ66" s="39">
        <f>DK66+Commerical!I66</f>
        <v>4327429533.6805</v>
      </c>
      <c r="DR66" s="213">
        <f>DL66+Commerical!J66</f>
        <v>2608624873.726</v>
      </c>
      <c r="DS66" s="39">
        <f>DM66+Commerical!K66</f>
        <v>3145186524.6744967</v>
      </c>
      <c r="DT66" s="39">
        <f>DN66+Commerical!L66</f>
        <v>2502051679.768974</v>
      </c>
      <c r="DU66" s="39">
        <f>DO66+Commerical!M66</f>
        <v>2711939394.0732837</v>
      </c>
      <c r="DV66" s="243">
        <f>DP66+Commerical!N66</f>
        <v>2424784967.679696</v>
      </c>
      <c r="DW66" s="520"/>
      <c r="DX66" s="213"/>
      <c r="DY66" s="38"/>
      <c r="DZ66" s="38"/>
      <c r="EA66" s="547"/>
      <c r="EB66" s="38"/>
      <c r="EC66" s="38"/>
      <c r="ED66" s="38"/>
    </row>
    <row r="67" spans="1:134" ht="12.75">
      <c r="A67" s="88" t="s">
        <v>657</v>
      </c>
      <c r="B67" s="29">
        <f>SUM(Commerical!C65:H66)*1000/SUM(Commerical!I65:N66)</f>
        <v>0.4139193721565804</v>
      </c>
      <c r="C67" s="41"/>
      <c r="E67" s="41"/>
      <c r="F67" s="41"/>
      <c r="G67" s="235"/>
      <c r="H67" s="41"/>
      <c r="I67" s="205"/>
      <c r="J67" s="205"/>
      <c r="K67" s="205"/>
      <c r="L67" s="494"/>
      <c r="M67" s="401"/>
      <c r="N67" s="205"/>
      <c r="O67" s="205"/>
      <c r="P67" s="205"/>
      <c r="Q67" s="398"/>
      <c r="R67" s="271"/>
      <c r="S67" s="205"/>
      <c r="V67" s="398"/>
      <c r="W67" s="398"/>
      <c r="X67" s="216"/>
      <c r="Y67" s="205"/>
      <c r="Z67" s="205"/>
      <c r="AA67" s="205"/>
      <c r="AB67" s="38"/>
      <c r="AC67" s="38"/>
      <c r="AD67" s="41"/>
      <c r="AE67" s="616"/>
      <c r="AF67" s="205"/>
      <c r="AG67" s="205"/>
      <c r="AH67" s="205"/>
      <c r="AI67" s="205"/>
      <c r="AJ67" s="216"/>
      <c r="AK67" s="205"/>
      <c r="AL67" s="205"/>
      <c r="AM67" s="41"/>
      <c r="AN67" s="41"/>
      <c r="AO67" s="41"/>
      <c r="AP67" s="498"/>
      <c r="AQ67" s="39"/>
      <c r="AR67" s="39"/>
      <c r="AS67" s="205"/>
      <c r="AT67" s="205"/>
      <c r="AU67" s="205"/>
      <c r="AV67" s="235"/>
      <c r="AW67" s="41"/>
      <c r="AX67" s="41"/>
      <c r="AY67" s="41"/>
      <c r="AZ67" s="41"/>
      <c r="BA67" s="41"/>
      <c r="BB67" s="237"/>
      <c r="BC67" s="41"/>
      <c r="BD67" s="41"/>
      <c r="BE67" s="210"/>
      <c r="BF67" s="41"/>
      <c r="BG67" s="41"/>
      <c r="BH67" s="224"/>
      <c r="BI67" s="210"/>
      <c r="BJ67" s="210"/>
      <c r="BK67" s="41"/>
      <c r="BL67" s="286"/>
      <c r="BM67" s="41"/>
      <c r="BN67" s="216"/>
      <c r="BO67" s="205"/>
      <c r="BP67" s="205"/>
      <c r="BQ67" s="205"/>
      <c r="BR67" s="205"/>
      <c r="BS67" s="205"/>
      <c r="BT67" s="216"/>
      <c r="BU67" s="205"/>
      <c r="BV67" s="205"/>
      <c r="BW67" s="205"/>
      <c r="BX67" s="205"/>
      <c r="BY67" s="205"/>
      <c r="BZ67" s="235"/>
      <c r="CA67" s="41"/>
      <c r="CB67" s="41"/>
      <c r="CC67" s="205"/>
      <c r="CD67" s="205"/>
      <c r="CE67" s="400"/>
      <c r="CF67" s="216"/>
      <c r="CG67" s="205"/>
      <c r="CH67" s="205"/>
      <c r="CI67" s="39"/>
      <c r="CJ67" s="286"/>
      <c r="CK67" s="286"/>
      <c r="CL67" s="498"/>
      <c r="CM67" s="39"/>
      <c r="CN67" s="39"/>
      <c r="CO67" s="39"/>
      <c r="CP67" s="205"/>
      <c r="CQ67" s="205"/>
      <c r="CR67" s="282"/>
      <c r="CS67" s="205"/>
      <c r="CT67" s="41"/>
      <c r="CU67" s="41"/>
      <c r="CV67" s="41"/>
      <c r="CW67" s="41"/>
      <c r="CX67" s="237"/>
      <c r="CY67" s="41"/>
      <c r="CZ67" s="41"/>
      <c r="DA67" s="39"/>
      <c r="DB67" s="41"/>
      <c r="DC67" s="41"/>
      <c r="DD67" s="224"/>
      <c r="DE67" s="210"/>
      <c r="DF67" s="39"/>
      <c r="DG67" s="39"/>
      <c r="DH67" s="39"/>
      <c r="DI67" s="39"/>
      <c r="DJ67" s="243"/>
      <c r="DK67" s="39"/>
      <c r="DL67" s="39"/>
      <c r="DM67" s="39"/>
      <c r="DN67" s="39"/>
      <c r="DO67" s="39"/>
      <c r="DP67" s="243"/>
      <c r="DQ67" s="39"/>
      <c r="DR67" s="39"/>
      <c r="DS67" s="39"/>
      <c r="DT67" s="39"/>
      <c r="DU67" s="39"/>
      <c r="DV67" s="243"/>
      <c r="DW67" s="39"/>
      <c r="DX67" s="39"/>
      <c r="DY67" s="39"/>
      <c r="DZ67" s="38"/>
      <c r="EA67" s="546"/>
      <c r="EB67" s="39"/>
      <c r="EC67" s="38"/>
      <c r="ED67" s="38"/>
    </row>
    <row r="68" spans="1:134" ht="12.75">
      <c r="A68" s="88" t="s">
        <v>218</v>
      </c>
      <c r="B68" s="29">
        <f>Commerical!B68</f>
        <v>2.4772151082217264</v>
      </c>
      <c r="C68" s="41">
        <v>136</v>
      </c>
      <c r="D68" s="41">
        <v>110</v>
      </c>
      <c r="E68" s="398">
        <v>214</v>
      </c>
      <c r="F68" s="398">
        <v>156</v>
      </c>
      <c r="G68" s="494">
        <v>45</v>
      </c>
      <c r="H68" s="401"/>
      <c r="I68" s="205"/>
      <c r="J68" s="205"/>
      <c r="K68" s="205"/>
      <c r="L68" s="216"/>
      <c r="M68" s="205"/>
      <c r="N68" s="205"/>
      <c r="O68" s="205"/>
      <c r="P68" s="205"/>
      <c r="Q68" s="205"/>
      <c r="R68" s="271">
        <v>129</v>
      </c>
      <c r="S68" s="205"/>
      <c r="V68" s="205"/>
      <c r="W68" s="205"/>
      <c r="X68" s="216"/>
      <c r="Y68" s="205"/>
      <c r="Z68" s="205"/>
      <c r="AA68" s="205"/>
      <c r="AB68" s="38"/>
      <c r="AC68" s="38"/>
      <c r="AD68" s="41"/>
      <c r="AE68" s="616"/>
      <c r="AF68" s="205"/>
      <c r="AG68" s="205"/>
      <c r="AH68" s="205"/>
      <c r="AI68" s="205"/>
      <c r="AJ68" s="216"/>
      <c r="AK68" s="205"/>
      <c r="AL68" s="205"/>
      <c r="AM68" s="41"/>
      <c r="AN68" s="41"/>
      <c r="AO68" s="41"/>
      <c r="AP68" s="498"/>
      <c r="AQ68" s="39"/>
      <c r="AR68" s="39"/>
      <c r="AS68" s="205"/>
      <c r="AT68" s="205"/>
      <c r="AU68" s="205"/>
      <c r="AV68" s="235"/>
      <c r="AW68" s="41">
        <f t="shared" si="0"/>
        <v>136</v>
      </c>
      <c r="AX68" s="41">
        <f t="shared" si="0"/>
        <v>110</v>
      </c>
      <c r="AY68" s="41">
        <f t="shared" si="1"/>
        <v>214</v>
      </c>
      <c r="AZ68" s="41">
        <f>(F68+K68+P68+V68+AB68+(AH68/0.212)+(AN68/0.55)+(AT68/0.635))</f>
        <v>156</v>
      </c>
      <c r="BA68" s="41">
        <f>(G68+L68+Q68+W68+AC68+(AI68/0.212)+(AO68/0.55)+(AU68/0.635))</f>
        <v>45</v>
      </c>
      <c r="BB68" s="237">
        <f>(R68+X68+AD68+(AJ68/0.212)+(AP68/0.55)+(AV68/0.635))</f>
        <v>129</v>
      </c>
      <c r="BC68" s="41">
        <f aca="true" t="shared" si="70" ref="BC68:BH68">AW68*1000/0.45359237/$B68</f>
        <v>121034.57450114861</v>
      </c>
      <c r="BD68" s="41">
        <f t="shared" si="70"/>
        <v>97895.61172887021</v>
      </c>
      <c r="BE68" s="41">
        <f t="shared" si="70"/>
        <v>190451.46281798385</v>
      </c>
      <c r="BF68" s="41">
        <f t="shared" si="70"/>
        <v>138833.77663367047</v>
      </c>
      <c r="BG68" s="41">
        <f t="shared" si="70"/>
        <v>40048.20479817418</v>
      </c>
      <c r="BH68" s="237">
        <f t="shared" si="70"/>
        <v>114804.85375476598</v>
      </c>
      <c r="BI68" s="41">
        <v>1040</v>
      </c>
      <c r="BJ68" s="41">
        <v>968</v>
      </c>
      <c r="BK68" s="41">
        <v>839</v>
      </c>
      <c r="BL68" s="400">
        <v>374</v>
      </c>
      <c r="BM68" s="400">
        <v>381</v>
      </c>
      <c r="BN68" s="216">
        <v>267</v>
      </c>
      <c r="BO68" s="205"/>
      <c r="BP68" s="205"/>
      <c r="BQ68" s="205"/>
      <c r="BR68" s="205"/>
      <c r="BS68" s="205"/>
      <c r="BT68" s="216"/>
      <c r="BU68" s="205"/>
      <c r="BV68" s="205"/>
      <c r="BW68" s="205"/>
      <c r="BX68" s="205"/>
      <c r="BY68" s="205"/>
      <c r="BZ68" s="235"/>
      <c r="CA68" s="41"/>
      <c r="CB68" s="41"/>
      <c r="CC68" s="205"/>
      <c r="CD68" s="205"/>
      <c r="CE68" s="400"/>
      <c r="CF68" s="216"/>
      <c r="CG68" s="205"/>
      <c r="CH68" s="205"/>
      <c r="CI68" s="39"/>
      <c r="CJ68" s="286"/>
      <c r="CK68" s="286"/>
      <c r="CL68" s="498"/>
      <c r="CM68" s="39"/>
      <c r="CN68" s="39"/>
      <c r="CO68" s="39"/>
      <c r="CP68" s="205"/>
      <c r="CQ68" s="205"/>
      <c r="CR68" s="282"/>
      <c r="CS68" s="41">
        <f aca="true" t="shared" si="71" ref="CS68:CX68">(BI68+BO68+BU68+(CA68/0.212)+(CG68/0.55)+(CM68/0.635))</f>
        <v>1040</v>
      </c>
      <c r="CT68" s="41">
        <f t="shared" si="71"/>
        <v>968</v>
      </c>
      <c r="CU68" s="41">
        <f t="shared" si="71"/>
        <v>839</v>
      </c>
      <c r="CV68" s="41">
        <f t="shared" si="71"/>
        <v>374</v>
      </c>
      <c r="CW68" s="41">
        <f t="shared" si="71"/>
        <v>381</v>
      </c>
      <c r="CX68" s="237">
        <f t="shared" si="71"/>
        <v>267</v>
      </c>
      <c r="CY68" s="41">
        <f aca="true" t="shared" si="72" ref="CY68:DD68">CS68*1000/0.45359237/$B68</f>
        <v>925558.5108911366</v>
      </c>
      <c r="CZ68" s="41">
        <f t="shared" si="72"/>
        <v>861481.3832140579</v>
      </c>
      <c r="DA68" s="41">
        <f t="shared" si="72"/>
        <v>746676.529459292</v>
      </c>
      <c r="DB68" s="41">
        <f t="shared" si="72"/>
        <v>332845.0798781587</v>
      </c>
      <c r="DC68" s="41">
        <f t="shared" si="72"/>
        <v>339074.80062454136</v>
      </c>
      <c r="DD68" s="237">
        <f t="shared" si="72"/>
        <v>237619.34846916675</v>
      </c>
      <c r="DE68" s="39">
        <f aca="true" t="shared" si="73" ref="DE68:DP68">AW68-CS68</f>
        <v>-904</v>
      </c>
      <c r="DF68" s="39">
        <f t="shared" si="73"/>
        <v>-858</v>
      </c>
      <c r="DG68" s="39">
        <f t="shared" si="73"/>
        <v>-625</v>
      </c>
      <c r="DH68" s="39">
        <f t="shared" si="73"/>
        <v>-218</v>
      </c>
      <c r="DI68" s="39">
        <f t="shared" si="73"/>
        <v>-336</v>
      </c>
      <c r="DJ68" s="243">
        <f t="shared" si="73"/>
        <v>-138</v>
      </c>
      <c r="DK68" s="39">
        <f t="shared" si="73"/>
        <v>-804523.9363899879</v>
      </c>
      <c r="DL68" s="39">
        <f t="shared" si="73"/>
        <v>-763585.7714851877</v>
      </c>
      <c r="DM68" s="39">
        <f t="shared" si="73"/>
        <v>-556225.0666413081</v>
      </c>
      <c r="DN68" s="39">
        <f t="shared" si="73"/>
        <v>-194011.30324448823</v>
      </c>
      <c r="DO68" s="39">
        <f t="shared" si="73"/>
        <v>-299026.59582636715</v>
      </c>
      <c r="DP68" s="243">
        <f t="shared" si="73"/>
        <v>-122814.49471440077</v>
      </c>
      <c r="DQ68" s="39">
        <f>DK68+Commerical!I68</f>
        <v>5691480.365614965</v>
      </c>
      <c r="DR68" s="39">
        <f>DL68+Commerical!J68</f>
        <v>4757937.149396228</v>
      </c>
      <c r="DS68" s="39">
        <f>DM68+Commerical!K68</f>
        <v>4697658.601678009</v>
      </c>
      <c r="DT68" s="39">
        <f>DN68+Commerical!L68</f>
        <v>5124057.344196057</v>
      </c>
      <c r="DU68" s="39">
        <f>DO68+Commerical!M68</f>
        <v>4482956.188262042</v>
      </c>
      <c r="DV68" s="243">
        <f>DP68+Commerical!N68</f>
        <v>5142775.867910047</v>
      </c>
      <c r="DW68" s="39"/>
      <c r="DX68" s="39"/>
      <c r="DY68" s="38"/>
      <c r="DZ68" s="38"/>
      <c r="EA68" s="546"/>
      <c r="EB68" s="38"/>
      <c r="EC68" s="38"/>
      <c r="ED68" s="38"/>
    </row>
    <row r="69" spans="1:134" ht="12.75">
      <c r="A69" s="88" t="s">
        <v>219</v>
      </c>
      <c r="B69" s="29">
        <f>Commerical!B69</f>
        <v>1.8398988767243327</v>
      </c>
      <c r="C69" s="41"/>
      <c r="E69" s="41"/>
      <c r="F69" s="41"/>
      <c r="G69" s="235"/>
      <c r="H69" s="41"/>
      <c r="I69" s="205"/>
      <c r="J69" s="205"/>
      <c r="K69" s="205"/>
      <c r="L69" s="216"/>
      <c r="M69" s="205"/>
      <c r="N69" s="205"/>
      <c r="O69" s="205"/>
      <c r="P69" s="205"/>
      <c r="Q69" s="205"/>
      <c r="R69" s="271"/>
      <c r="S69" s="205"/>
      <c r="X69" s="216"/>
      <c r="Y69" s="205"/>
      <c r="Z69" s="205"/>
      <c r="AA69" s="205"/>
      <c r="AB69" s="205"/>
      <c r="AC69" s="38"/>
      <c r="AD69" s="41"/>
      <c r="AE69" s="616"/>
      <c r="AF69" s="205"/>
      <c r="AG69" s="205"/>
      <c r="AH69" s="205"/>
      <c r="AI69" s="205"/>
      <c r="AJ69" s="216"/>
      <c r="AK69" s="205"/>
      <c r="AL69" s="205"/>
      <c r="AM69" s="41"/>
      <c r="AN69" s="41"/>
      <c r="AO69" s="41"/>
      <c r="AP69" s="498"/>
      <c r="AQ69" s="39"/>
      <c r="AR69" s="39"/>
      <c r="AS69" s="205"/>
      <c r="AT69" s="205"/>
      <c r="AU69" s="205"/>
      <c r="AV69" s="235"/>
      <c r="AW69" s="41"/>
      <c r="AX69" s="41"/>
      <c r="AY69" s="41"/>
      <c r="AZ69" s="41"/>
      <c r="BA69" s="41"/>
      <c r="BB69" s="237"/>
      <c r="BC69" s="41"/>
      <c r="BD69" s="41"/>
      <c r="BE69" s="210"/>
      <c r="BF69" s="41"/>
      <c r="BG69" s="41"/>
      <c r="BH69" s="224"/>
      <c r="BI69" s="210"/>
      <c r="BJ69" s="210"/>
      <c r="BK69" s="41"/>
      <c r="BL69" s="286"/>
      <c r="BM69" s="41"/>
      <c r="BN69" s="216"/>
      <c r="BO69" s="205"/>
      <c r="BP69" s="205"/>
      <c r="BQ69" s="205"/>
      <c r="BR69" s="205"/>
      <c r="BS69" s="205"/>
      <c r="BT69" s="216"/>
      <c r="BU69" s="205"/>
      <c r="BV69" s="205"/>
      <c r="BW69" s="205"/>
      <c r="BX69" s="205"/>
      <c r="BY69" s="205"/>
      <c r="BZ69" s="235"/>
      <c r="CA69" s="41"/>
      <c r="CB69" s="41"/>
      <c r="CC69" s="205"/>
      <c r="CD69" s="205"/>
      <c r="CE69" s="400"/>
      <c r="CF69" s="216"/>
      <c r="CG69" s="205"/>
      <c r="CH69" s="205"/>
      <c r="CI69" s="39"/>
      <c r="CJ69" s="286"/>
      <c r="CK69" s="286"/>
      <c r="CL69" s="498"/>
      <c r="CM69" s="39"/>
      <c r="CN69" s="39"/>
      <c r="CO69" s="39"/>
      <c r="CP69" s="205"/>
      <c r="CQ69" s="205"/>
      <c r="CR69" s="282"/>
      <c r="CS69" s="205"/>
      <c r="CT69" s="41"/>
      <c r="CU69" s="41"/>
      <c r="CV69" s="41"/>
      <c r="CW69" s="41"/>
      <c r="CX69" s="237"/>
      <c r="CY69" s="41"/>
      <c r="CZ69" s="41"/>
      <c r="DA69" s="39"/>
      <c r="DB69" s="41"/>
      <c r="DC69" s="41"/>
      <c r="DD69" s="224"/>
      <c r="DE69" s="210"/>
      <c r="DF69" s="39"/>
      <c r="DG69" s="39"/>
      <c r="DH69" s="39"/>
      <c r="DI69" s="39"/>
      <c r="DJ69" s="243"/>
      <c r="DK69" s="39"/>
      <c r="DL69" s="39"/>
      <c r="DM69" s="39"/>
      <c r="DN69" s="39"/>
      <c r="DO69" s="39"/>
      <c r="DP69" s="243"/>
      <c r="DQ69" s="39">
        <f>DK69+Commerical!I69</f>
        <v>2414263.1185841705</v>
      </c>
      <c r="DR69" s="39">
        <f>DL69+Commerical!J69</f>
        <v>1969129.9591693943</v>
      </c>
      <c r="DS69" s="39">
        <f>DM69+Commerical!K69</f>
        <v>1724551.3001502866</v>
      </c>
      <c r="DT69" s="39">
        <f>DN69+Commerical!L69</f>
        <v>1425078.319884668</v>
      </c>
      <c r="DU69" s="39">
        <f>DO69+Commerical!M69</f>
        <v>942986.6075514489</v>
      </c>
      <c r="DV69" s="243">
        <f>DP69+Commerical!N69</f>
        <v>598402.4524000837</v>
      </c>
      <c r="DW69" s="39"/>
      <c r="DX69" s="39"/>
      <c r="DY69" s="38"/>
      <c r="DZ69" s="38"/>
      <c r="EA69" s="546"/>
      <c r="EB69" s="39"/>
      <c r="EC69" s="38"/>
      <c r="ED69" s="38"/>
    </row>
    <row r="70" spans="1:134" ht="12.75">
      <c r="A70" s="88" t="s">
        <v>220</v>
      </c>
      <c r="B70" s="29">
        <f>Commerical!B70</f>
        <v>1.6471572226666666</v>
      </c>
      <c r="C70" s="41"/>
      <c r="E70" s="398"/>
      <c r="F70" s="398"/>
      <c r="G70" s="494"/>
      <c r="H70" s="401"/>
      <c r="I70" s="205"/>
      <c r="J70" s="205"/>
      <c r="K70" s="205"/>
      <c r="L70" s="216"/>
      <c r="M70" s="205"/>
      <c r="N70" s="205"/>
      <c r="O70" s="205"/>
      <c r="P70" s="205"/>
      <c r="Q70" s="205"/>
      <c r="R70" s="271"/>
      <c r="S70" s="205"/>
      <c r="X70" s="216"/>
      <c r="Y70" s="205"/>
      <c r="Z70" s="205"/>
      <c r="AA70" s="205"/>
      <c r="AB70" s="205"/>
      <c r="AC70" s="38"/>
      <c r="AD70" s="41"/>
      <c r="AE70" s="616"/>
      <c r="AF70" s="205"/>
      <c r="AG70" s="205"/>
      <c r="AH70" s="205"/>
      <c r="AI70" s="205"/>
      <c r="AJ70" s="216"/>
      <c r="AK70" s="205"/>
      <c r="AL70" s="205"/>
      <c r="AM70" s="41"/>
      <c r="AN70" s="41"/>
      <c r="AO70" s="41"/>
      <c r="AP70" s="498"/>
      <c r="AQ70" s="39"/>
      <c r="AR70" s="39"/>
      <c r="AS70" s="205"/>
      <c r="AT70" s="205"/>
      <c r="AU70" s="205"/>
      <c r="AV70" s="235"/>
      <c r="AW70" s="41"/>
      <c r="AX70" s="41"/>
      <c r="AY70" s="41"/>
      <c r="AZ70" s="41"/>
      <c r="BA70" s="41"/>
      <c r="BB70" s="237"/>
      <c r="BC70" s="41"/>
      <c r="BD70" s="41"/>
      <c r="BE70" s="210"/>
      <c r="BF70" s="41"/>
      <c r="BG70" s="41"/>
      <c r="BH70" s="224"/>
      <c r="BI70" s="210"/>
      <c r="BJ70" s="210"/>
      <c r="BK70" s="41"/>
      <c r="BL70" s="286"/>
      <c r="BM70" s="41"/>
      <c r="BN70" s="216"/>
      <c r="BO70" s="205"/>
      <c r="BP70" s="205"/>
      <c r="BQ70" s="205"/>
      <c r="BR70" s="205"/>
      <c r="BS70" s="205"/>
      <c r="BT70" s="216"/>
      <c r="BU70" s="205"/>
      <c r="BV70" s="205"/>
      <c r="BW70" s="205"/>
      <c r="BX70" s="205"/>
      <c r="BY70" s="205"/>
      <c r="BZ70" s="235"/>
      <c r="CA70" s="41"/>
      <c r="CB70" s="41"/>
      <c r="CC70" s="205"/>
      <c r="CD70" s="205"/>
      <c r="CE70" s="400"/>
      <c r="CF70" s="216"/>
      <c r="CG70" s="205"/>
      <c r="CH70" s="205"/>
      <c r="CI70" s="39"/>
      <c r="CJ70" s="286"/>
      <c r="CK70" s="286"/>
      <c r="CL70" s="498"/>
      <c r="CM70" s="39"/>
      <c r="CN70" s="39"/>
      <c r="CO70" s="39"/>
      <c r="CP70" s="205"/>
      <c r="CQ70" s="205"/>
      <c r="CR70" s="282"/>
      <c r="CS70" s="205"/>
      <c r="CT70" s="41"/>
      <c r="CU70" s="41"/>
      <c r="CV70" s="41"/>
      <c r="CW70" s="41"/>
      <c r="CX70" s="237"/>
      <c r="CY70" s="41"/>
      <c r="CZ70" s="41"/>
      <c r="DA70" s="39"/>
      <c r="DB70" s="41"/>
      <c r="DC70" s="41"/>
      <c r="DD70" s="224"/>
      <c r="DE70" s="210"/>
      <c r="DF70" s="39"/>
      <c r="DG70" s="39"/>
      <c r="DH70" s="39"/>
      <c r="DI70" s="39"/>
      <c r="DJ70" s="243"/>
      <c r="DK70" s="39"/>
      <c r="DL70" s="39"/>
      <c r="DM70" s="39"/>
      <c r="DN70" s="39"/>
      <c r="DO70" s="39"/>
      <c r="DP70" s="243"/>
      <c r="DQ70" s="39">
        <f>DK70+Commerical!I70</f>
        <v>48970431.5350129</v>
      </c>
      <c r="DR70" s="39">
        <f>DL70+Commerical!J70</f>
        <v>43455475.297081076</v>
      </c>
      <c r="DS70" s="39">
        <f>DM70+Commerical!K70</f>
        <v>35639585.09374175</v>
      </c>
      <c r="DT70" s="39">
        <f>DN70+Commerical!L70</f>
        <v>38789861.17461232</v>
      </c>
      <c r="DU70" s="39">
        <f>DO70+Commerical!M70</f>
        <v>37633323.12603679</v>
      </c>
      <c r="DV70" s="243">
        <f>DP70+Commerical!N70</f>
        <v>31041359.80244985</v>
      </c>
      <c r="DW70" s="39"/>
      <c r="DX70" s="39"/>
      <c r="DY70" s="38"/>
      <c r="DZ70" s="38"/>
      <c r="EA70" s="546"/>
      <c r="EC70" s="38"/>
      <c r="ED70" s="38"/>
    </row>
    <row r="71" spans="1:134" ht="12.75">
      <c r="A71" s="88" t="s">
        <v>658</v>
      </c>
      <c r="B71" s="29">
        <f>Commerical!B71</f>
        <v>1.6543076123983878</v>
      </c>
      <c r="C71" s="41">
        <v>762</v>
      </c>
      <c r="D71" s="41">
        <v>676</v>
      </c>
      <c r="E71" s="398">
        <v>679</v>
      </c>
      <c r="F71" s="398">
        <f>765</f>
        <v>765</v>
      </c>
      <c r="G71" s="494">
        <f>980</f>
        <v>980</v>
      </c>
      <c r="H71" s="401">
        <v>1138</v>
      </c>
      <c r="I71" s="205">
        <v>538</v>
      </c>
      <c r="J71" s="400">
        <v>517</v>
      </c>
      <c r="K71" s="400">
        <v>165</v>
      </c>
      <c r="L71" s="494">
        <v>334</v>
      </c>
      <c r="M71" s="401"/>
      <c r="N71" s="400">
        <v>0</v>
      </c>
      <c r="O71" s="400">
        <v>0</v>
      </c>
      <c r="P71" s="400">
        <v>63</v>
      </c>
      <c r="Q71" s="398">
        <v>26</v>
      </c>
      <c r="R71" s="271">
        <f>652+173+4</f>
        <v>829</v>
      </c>
      <c r="S71" s="205">
        <v>3219</v>
      </c>
      <c r="T71" s="205">
        <v>3686</v>
      </c>
      <c r="U71" s="205">
        <v>3148</v>
      </c>
      <c r="V71" s="397">
        <v>4190</v>
      </c>
      <c r="W71" s="397">
        <v>4600</v>
      </c>
      <c r="X71" s="216">
        <v>6315</v>
      </c>
      <c r="Y71" s="205"/>
      <c r="Z71" s="205"/>
      <c r="AA71" s="205"/>
      <c r="AB71" s="205"/>
      <c r="AC71" s="38"/>
      <c r="AD71" s="41"/>
      <c r="AE71" s="616"/>
      <c r="AF71" s="205"/>
      <c r="AG71" s="205"/>
      <c r="AH71" s="205"/>
      <c r="AI71" s="205"/>
      <c r="AJ71" s="216"/>
      <c r="AK71" s="205"/>
      <c r="AL71" s="205"/>
      <c r="AM71" s="41"/>
      <c r="AN71" s="41"/>
      <c r="AO71" s="41"/>
      <c r="AP71" s="498"/>
      <c r="AQ71" s="39"/>
      <c r="AR71" s="39"/>
      <c r="AS71" s="205"/>
      <c r="AT71" s="205"/>
      <c r="AU71" s="205"/>
      <c r="AV71" s="235"/>
      <c r="AW71" s="41">
        <f aca="true" t="shared" si="74" ref="AW71:AW81">(C71+H71+M71+S71+Y71+(AE71/0.212)+(AK71/0.55)+(AQ71/0.635))</f>
        <v>5119</v>
      </c>
      <c r="AX71" s="41">
        <f aca="true" t="shared" si="75" ref="AX71:AX132">(D71+I71+N71+T71+Z71+(AF71/0.212)+(AL71/0.55)+(AR71/0.635))</f>
        <v>4900</v>
      </c>
      <c r="AY71" s="41">
        <f aca="true" t="shared" si="76" ref="AY71:AY132">(E71+J71+O71+U71+AA71+(AG71/0.212)+(AM71/0.55)+(AS71/0.635))</f>
        <v>4344</v>
      </c>
      <c r="AZ71" s="41">
        <f aca="true" t="shared" si="77" ref="AZ71:BA78">(F71+K71+P71+V71+AB71+(AH71/0.212)+(AN71/0.55)+(AT71/0.635))</f>
        <v>5183</v>
      </c>
      <c r="BA71" s="41">
        <f t="shared" si="77"/>
        <v>5940</v>
      </c>
      <c r="BB71" s="237">
        <f aca="true" t="shared" si="78" ref="BB71:BB78">(R71+X71+AD71+(AJ71/0.212)+(AP71/0.55)+(AV71/0.635))</f>
        <v>7144</v>
      </c>
      <c r="BC71" s="41">
        <f aca="true" t="shared" si="79" ref="BC71:BC81">AW71*1000/0.45359237/$B71</f>
        <v>6821865.00059829</v>
      </c>
      <c r="BD71" s="41">
        <f aca="true" t="shared" si="80" ref="BD71:BD77">AX71*1000/0.45359237/$B71</f>
        <v>6530013.3820925215</v>
      </c>
      <c r="BE71" s="41">
        <f aca="true" t="shared" si="81" ref="BE71:BH77">AY71*1000/0.45359237/$B71</f>
        <v>5789056.761593861</v>
      </c>
      <c r="BF71" s="41">
        <f t="shared" si="81"/>
        <v>6907154.9713031715</v>
      </c>
      <c r="BG71" s="41">
        <f t="shared" si="81"/>
        <v>7915975.406046853</v>
      </c>
      <c r="BH71" s="237">
        <f t="shared" si="81"/>
        <v>9520492.979932444</v>
      </c>
      <c r="BI71" s="41">
        <v>10672</v>
      </c>
      <c r="BJ71" s="41">
        <v>8435</v>
      </c>
      <c r="BK71" s="41">
        <v>10509</v>
      </c>
      <c r="BL71" s="401">
        <v>8575</v>
      </c>
      <c r="BM71" s="401">
        <v>11976</v>
      </c>
      <c r="BN71" s="216">
        <v>9852</v>
      </c>
      <c r="BO71" s="205"/>
      <c r="BP71" s="205"/>
      <c r="BQ71" s="205"/>
      <c r="BR71" s="205"/>
      <c r="BS71" s="205"/>
      <c r="BT71" s="216"/>
      <c r="BU71" s="205"/>
      <c r="BV71" s="205"/>
      <c r="BW71" s="205"/>
      <c r="BX71" s="205"/>
      <c r="BY71" s="205"/>
      <c r="BZ71" s="235"/>
      <c r="CA71" s="41"/>
      <c r="CB71" s="41"/>
      <c r="CC71" s="205"/>
      <c r="CD71" s="205"/>
      <c r="CE71" s="400"/>
      <c r="CF71" s="216"/>
      <c r="CG71" s="205"/>
      <c r="CH71" s="205"/>
      <c r="CI71" s="39"/>
      <c r="CJ71" s="286"/>
      <c r="CK71" s="286"/>
      <c r="CL71" s="498"/>
      <c r="CM71" s="39"/>
      <c r="CN71" s="39"/>
      <c r="CO71" s="39"/>
      <c r="CP71" s="205"/>
      <c r="CQ71" s="205"/>
      <c r="CR71" s="282"/>
      <c r="CS71" s="41">
        <f aca="true" t="shared" si="82" ref="CS71:CX71">(BI71+BO71+BU71+(CA71/0.212)+(CG71/0.55)+(CM71/0.635))</f>
        <v>10672</v>
      </c>
      <c r="CT71" s="41">
        <f t="shared" si="82"/>
        <v>8435</v>
      </c>
      <c r="CU71" s="41">
        <f t="shared" si="82"/>
        <v>10509</v>
      </c>
      <c r="CV71" s="41">
        <f t="shared" si="82"/>
        <v>8575</v>
      </c>
      <c r="CW71" s="41">
        <f t="shared" si="82"/>
        <v>11976</v>
      </c>
      <c r="CX71" s="237">
        <f t="shared" si="82"/>
        <v>9852</v>
      </c>
      <c r="CY71" s="41">
        <f aca="true" t="shared" si="83" ref="CY71:DD71">CS71*1000/0.45359237/$B71</f>
        <v>14222102.61503906</v>
      </c>
      <c r="CZ71" s="41">
        <f t="shared" si="83"/>
        <v>11240951.607744984</v>
      </c>
      <c r="DA71" s="41">
        <f t="shared" si="83"/>
        <v>14004879.720900064</v>
      </c>
      <c r="DB71" s="41">
        <f t="shared" si="83"/>
        <v>11427523.418661913</v>
      </c>
      <c r="DC71" s="41">
        <f t="shared" si="83"/>
        <v>15959885.76815103</v>
      </c>
      <c r="DD71" s="237">
        <f t="shared" si="83"/>
        <v>13129324.86538276</v>
      </c>
      <c r="DE71" s="39">
        <f aca="true" t="shared" si="84" ref="DE71:DE96">AW71-CS71</f>
        <v>-5553</v>
      </c>
      <c r="DF71" s="39">
        <f aca="true" t="shared" si="85" ref="DF71:DF77">AX71-CT71</f>
        <v>-3535</v>
      </c>
      <c r="DG71" s="39">
        <f aca="true" t="shared" si="86" ref="DG71:DJ78">AY71-CU71</f>
        <v>-6165</v>
      </c>
      <c r="DH71" s="39">
        <f t="shared" si="86"/>
        <v>-3392</v>
      </c>
      <c r="DI71" s="39">
        <f t="shared" si="86"/>
        <v>-6036</v>
      </c>
      <c r="DJ71" s="243">
        <f t="shared" si="86"/>
        <v>-2708</v>
      </c>
      <c r="DK71" s="39">
        <f aca="true" t="shared" si="87" ref="DK71:DK77">BC71-CY71</f>
        <v>-7400237.61444077</v>
      </c>
      <c r="DL71" s="39">
        <f aca="true" t="shared" si="88" ref="DL71:DL77">BD71-CZ71</f>
        <v>-4710938.225652463</v>
      </c>
      <c r="DM71" s="39">
        <f aca="true" t="shared" si="89" ref="DM71:DP78">BE71-DA71</f>
        <v>-8215822.959306204</v>
      </c>
      <c r="DN71" s="39">
        <f t="shared" si="89"/>
        <v>-4520368.447358741</v>
      </c>
      <c r="DO71" s="39">
        <f t="shared" si="89"/>
        <v>-8043910.362104177</v>
      </c>
      <c r="DP71" s="243">
        <f t="shared" si="89"/>
        <v>-3608831.8854503166</v>
      </c>
      <c r="DQ71" s="39">
        <f>DK71+Commerical!I71</f>
        <v>13919255.650096405</v>
      </c>
      <c r="DR71" s="39">
        <f>DL71+Commerical!J71</f>
        <v>19211456.68047072</v>
      </c>
      <c r="DS71" s="39">
        <f>DM71+Commerical!K71</f>
        <v>13132080.982693706</v>
      </c>
      <c r="DT71" s="39">
        <f>DN71+Commerical!L71</f>
        <v>16644981.779880606</v>
      </c>
      <c r="DU71" s="39">
        <f>DO71+Commerical!M71</f>
        <v>11110326.590272963</v>
      </c>
      <c r="DV71" s="243">
        <f>DP71+Commerical!N71</f>
        <v>27963893.530638628</v>
      </c>
      <c r="DW71" s="39"/>
      <c r="DX71" s="39"/>
      <c r="DY71" s="39"/>
      <c r="DZ71" s="38"/>
      <c r="EA71" s="546"/>
      <c r="EC71" s="38"/>
      <c r="ED71" s="38"/>
    </row>
    <row r="72" spans="1:134" ht="12.75">
      <c r="A72" s="88" t="s">
        <v>716</v>
      </c>
      <c r="B72" s="29">
        <f>Commerical!B72</f>
        <v>2.438466965</v>
      </c>
      <c r="C72" s="41"/>
      <c r="E72" s="41"/>
      <c r="F72" s="41"/>
      <c r="G72" s="235"/>
      <c r="H72" s="41"/>
      <c r="J72" s="205"/>
      <c r="K72" s="205"/>
      <c r="L72" s="216"/>
      <c r="M72" s="205"/>
      <c r="N72" s="205"/>
      <c r="O72" s="205"/>
      <c r="P72" s="205"/>
      <c r="Q72" s="205"/>
      <c r="R72" s="271"/>
      <c r="S72" s="205">
        <v>1863</v>
      </c>
      <c r="T72" s="205">
        <v>2777</v>
      </c>
      <c r="U72" s="205">
        <v>4058</v>
      </c>
      <c r="V72" s="397">
        <v>5399</v>
      </c>
      <c r="W72" s="397">
        <v>6098</v>
      </c>
      <c r="X72" s="216">
        <v>6443</v>
      </c>
      <c r="Y72" s="205"/>
      <c r="Z72" s="205"/>
      <c r="AA72" s="205"/>
      <c r="AB72" s="205"/>
      <c r="AC72" s="38"/>
      <c r="AD72" s="41"/>
      <c r="AE72" s="616"/>
      <c r="AF72" s="205"/>
      <c r="AG72" s="205"/>
      <c r="AH72" s="205"/>
      <c r="AI72" s="205"/>
      <c r="AJ72" s="216"/>
      <c r="AK72" s="205"/>
      <c r="AL72" s="205"/>
      <c r="AM72" s="41"/>
      <c r="AN72" s="41"/>
      <c r="AO72" s="41"/>
      <c r="AP72" s="498"/>
      <c r="AQ72" s="39"/>
      <c r="AR72" s="39"/>
      <c r="AS72" s="205"/>
      <c r="AT72" s="205"/>
      <c r="AU72" s="205"/>
      <c r="AV72" s="235"/>
      <c r="AW72" s="41">
        <f t="shared" si="74"/>
        <v>1863</v>
      </c>
      <c r="AX72" s="41">
        <f t="shared" si="75"/>
        <v>2777</v>
      </c>
      <c r="AY72" s="41">
        <f t="shared" si="76"/>
        <v>4058</v>
      </c>
      <c r="AZ72" s="41">
        <f t="shared" si="77"/>
        <v>5399</v>
      </c>
      <c r="BA72" s="41">
        <f t="shared" si="77"/>
        <v>6098</v>
      </c>
      <c r="BB72" s="237">
        <f t="shared" si="78"/>
        <v>6443</v>
      </c>
      <c r="BC72" s="41">
        <f t="shared" si="79"/>
        <v>1684341.8440586785</v>
      </c>
      <c r="BD72" s="41">
        <f t="shared" si="80"/>
        <v>2510690.982797075</v>
      </c>
      <c r="BE72" s="41">
        <f t="shared" si="81"/>
        <v>3668845.5196941053</v>
      </c>
      <c r="BF72" s="41">
        <f t="shared" si="81"/>
        <v>4881246.170731511</v>
      </c>
      <c r="BG72" s="41">
        <f t="shared" si="81"/>
        <v>5513213.400466894</v>
      </c>
      <c r="BH72" s="237">
        <f t="shared" si="81"/>
        <v>5825128.556774056</v>
      </c>
      <c r="BI72" s="41"/>
      <c r="BJ72" s="41"/>
      <c r="BK72" s="41"/>
      <c r="BL72" s="286"/>
      <c r="BM72" s="41"/>
      <c r="BN72" s="216"/>
      <c r="BO72" s="205"/>
      <c r="BP72" s="205"/>
      <c r="BQ72" s="205"/>
      <c r="BR72" s="205"/>
      <c r="BS72" s="205"/>
      <c r="BT72" s="216"/>
      <c r="BU72" s="205"/>
      <c r="BV72" s="205"/>
      <c r="BW72" s="205"/>
      <c r="BX72" s="205"/>
      <c r="BY72" s="205"/>
      <c r="BZ72" s="235"/>
      <c r="CA72" s="41"/>
      <c r="CB72" s="41"/>
      <c r="CC72" s="205"/>
      <c r="CD72" s="205"/>
      <c r="CE72" s="400"/>
      <c r="CF72" s="216"/>
      <c r="CG72" s="205"/>
      <c r="CH72" s="205"/>
      <c r="CI72" s="39"/>
      <c r="CJ72" s="286"/>
      <c r="CK72" s="286"/>
      <c r="CL72" s="498"/>
      <c r="CM72" s="39"/>
      <c r="CN72" s="39"/>
      <c r="CO72" s="39"/>
      <c r="CP72" s="205"/>
      <c r="CQ72" s="205"/>
      <c r="CR72" s="282"/>
      <c r="CS72" s="205"/>
      <c r="CT72" s="41"/>
      <c r="CU72" s="41"/>
      <c r="CV72" s="41"/>
      <c r="CW72" s="41"/>
      <c r="CX72" s="237"/>
      <c r="CY72" s="41"/>
      <c r="CZ72" s="41"/>
      <c r="DA72" s="39"/>
      <c r="DB72" s="41"/>
      <c r="DC72" s="41"/>
      <c r="DD72" s="237"/>
      <c r="DE72" s="39">
        <f t="shared" si="84"/>
        <v>1863</v>
      </c>
      <c r="DF72" s="39">
        <f t="shared" si="85"/>
        <v>2777</v>
      </c>
      <c r="DG72" s="39">
        <f t="shared" si="86"/>
        <v>4058</v>
      </c>
      <c r="DH72" s="39">
        <f t="shared" si="86"/>
        <v>5399</v>
      </c>
      <c r="DI72" s="39">
        <f t="shared" si="86"/>
        <v>6098</v>
      </c>
      <c r="DJ72" s="243">
        <f t="shared" si="86"/>
        <v>6443</v>
      </c>
      <c r="DK72" s="39">
        <f t="shared" si="87"/>
        <v>1684341.8440586785</v>
      </c>
      <c r="DL72" s="39">
        <f t="shared" si="88"/>
        <v>2510690.982797075</v>
      </c>
      <c r="DM72" s="39">
        <f t="shared" si="89"/>
        <v>3668845.5196941053</v>
      </c>
      <c r="DN72" s="39">
        <f t="shared" si="89"/>
        <v>4881246.170731511</v>
      </c>
      <c r="DO72" s="39">
        <f t="shared" si="89"/>
        <v>5513213.400466894</v>
      </c>
      <c r="DP72" s="243">
        <f t="shared" si="89"/>
        <v>5825128.556774056</v>
      </c>
      <c r="DQ72" s="39">
        <f>DK72+Commerical!I72</f>
        <v>1684341.8440586785</v>
      </c>
      <c r="DR72" s="39">
        <f>DL72+Commerical!J72</f>
        <v>2510690.982797075</v>
      </c>
      <c r="DS72" s="39">
        <f>DM72+Commerical!K72</f>
        <v>3668845.5196941053</v>
      </c>
      <c r="DT72" s="39">
        <f>DN72+Commerical!L72</f>
        <v>4881246.170731511</v>
      </c>
      <c r="DU72" s="39">
        <f>DO72+Commerical!M72</f>
        <v>5513213.400466894</v>
      </c>
      <c r="DV72" s="243">
        <f>DP72+Commerical!N72</f>
        <v>5825128.556774056</v>
      </c>
      <c r="DW72" s="39"/>
      <c r="DX72" s="39"/>
      <c r="DY72" s="38"/>
      <c r="DZ72" s="38"/>
      <c r="EA72" s="546"/>
      <c r="EB72" s="38"/>
      <c r="EC72" s="38"/>
      <c r="ED72" s="38"/>
    </row>
    <row r="73" spans="1:134" ht="12.75">
      <c r="A73" s="88" t="s">
        <v>717</v>
      </c>
      <c r="B73" s="29">
        <f>Commerical!B73</f>
        <v>1</v>
      </c>
      <c r="C73" s="41"/>
      <c r="D73" s="41"/>
      <c r="E73" s="398"/>
      <c r="F73" s="398"/>
      <c r="G73" s="494"/>
      <c r="H73" s="401">
        <v>3</v>
      </c>
      <c r="I73" s="205">
        <v>19</v>
      </c>
      <c r="J73" s="400">
        <v>3</v>
      </c>
      <c r="K73" s="400">
        <v>0</v>
      </c>
      <c r="L73" s="494"/>
      <c r="M73" s="401"/>
      <c r="N73" s="205"/>
      <c r="O73" s="205"/>
      <c r="P73" s="205"/>
      <c r="Q73" s="205"/>
      <c r="R73" s="271">
        <v>6</v>
      </c>
      <c r="S73" s="205">
        <v>721</v>
      </c>
      <c r="T73" s="205">
        <v>716</v>
      </c>
      <c r="U73" s="205">
        <v>765</v>
      </c>
      <c r="V73" s="398">
        <v>950</v>
      </c>
      <c r="W73" s="397">
        <v>1362</v>
      </c>
      <c r="X73" s="216">
        <v>2192</v>
      </c>
      <c r="Y73" s="205"/>
      <c r="Z73" s="205"/>
      <c r="AA73" s="205"/>
      <c r="AB73" s="205"/>
      <c r="AC73" s="38"/>
      <c r="AD73" s="41"/>
      <c r="AE73" s="616"/>
      <c r="AF73" s="205"/>
      <c r="AG73" s="205"/>
      <c r="AH73" s="205"/>
      <c r="AI73" s="205"/>
      <c r="AJ73" s="216"/>
      <c r="AK73" s="205"/>
      <c r="AL73" s="205"/>
      <c r="AM73" s="41"/>
      <c r="AN73" s="41"/>
      <c r="AO73" s="41"/>
      <c r="AP73" s="498"/>
      <c r="AQ73" s="39"/>
      <c r="AR73" s="39"/>
      <c r="AS73" s="205"/>
      <c r="AT73" s="205"/>
      <c r="AU73" s="205"/>
      <c r="AV73" s="235"/>
      <c r="AW73" s="41">
        <f t="shared" si="74"/>
        <v>724</v>
      </c>
      <c r="AX73" s="41">
        <f t="shared" si="75"/>
        <v>735</v>
      </c>
      <c r="AY73" s="41">
        <f t="shared" si="76"/>
        <v>768</v>
      </c>
      <c r="AZ73" s="41">
        <f t="shared" si="77"/>
        <v>950</v>
      </c>
      <c r="BA73" s="41">
        <f t="shared" si="77"/>
        <v>1362</v>
      </c>
      <c r="BB73" s="237">
        <f t="shared" si="78"/>
        <v>2198</v>
      </c>
      <c r="BC73" s="41">
        <f t="shared" si="79"/>
        <v>1596146.7782185136</v>
      </c>
      <c r="BD73" s="41">
        <f t="shared" si="80"/>
        <v>1620397.6270588501</v>
      </c>
      <c r="BE73" s="41">
        <f t="shared" si="81"/>
        <v>1693150.1735798598</v>
      </c>
      <c r="BF73" s="41">
        <f t="shared" si="81"/>
        <v>2094391.4907563368</v>
      </c>
      <c r="BG73" s="41">
        <f t="shared" si="81"/>
        <v>3002696.0109580327</v>
      </c>
      <c r="BH73" s="237">
        <f t="shared" si="81"/>
        <v>4845760.522823609</v>
      </c>
      <c r="BI73" s="41"/>
      <c r="BJ73" s="41"/>
      <c r="BK73" s="41"/>
      <c r="BL73" s="286"/>
      <c r="BM73" s="41"/>
      <c r="BN73" s="216"/>
      <c r="BO73" s="205"/>
      <c r="BP73" s="205"/>
      <c r="BQ73" s="205"/>
      <c r="BR73" s="205"/>
      <c r="BS73" s="205"/>
      <c r="BT73" s="216"/>
      <c r="BU73" s="205"/>
      <c r="BV73" s="205"/>
      <c r="BW73" s="205"/>
      <c r="BX73" s="205"/>
      <c r="BY73" s="205"/>
      <c r="BZ73" s="235"/>
      <c r="CA73" s="41"/>
      <c r="CB73" s="41"/>
      <c r="CC73" s="205"/>
      <c r="CD73" s="205"/>
      <c r="CE73" s="400"/>
      <c r="CF73" s="216"/>
      <c r="CG73" s="205"/>
      <c r="CH73" s="205"/>
      <c r="CI73" s="39"/>
      <c r="CJ73" s="286"/>
      <c r="CK73" s="286"/>
      <c r="CL73" s="498"/>
      <c r="CM73" s="39"/>
      <c r="CN73" s="39"/>
      <c r="CO73" s="39"/>
      <c r="CP73" s="205"/>
      <c r="CQ73" s="205"/>
      <c r="CR73" s="282"/>
      <c r="CS73" s="205"/>
      <c r="CT73" s="41"/>
      <c r="CU73" s="41"/>
      <c r="CV73" s="41"/>
      <c r="CW73" s="41"/>
      <c r="CX73" s="237"/>
      <c r="CY73" s="41"/>
      <c r="CZ73" s="41"/>
      <c r="DA73" s="39"/>
      <c r="DB73" s="41"/>
      <c r="DC73" s="41"/>
      <c r="DD73" s="237"/>
      <c r="DE73" s="39">
        <f t="shared" si="84"/>
        <v>724</v>
      </c>
      <c r="DF73" s="39">
        <f t="shared" si="85"/>
        <v>735</v>
      </c>
      <c r="DG73" s="39">
        <f t="shared" si="86"/>
        <v>768</v>
      </c>
      <c r="DH73" s="39">
        <f t="shared" si="86"/>
        <v>950</v>
      </c>
      <c r="DI73" s="39">
        <f t="shared" si="86"/>
        <v>1362</v>
      </c>
      <c r="DJ73" s="243">
        <f t="shared" si="86"/>
        <v>2198</v>
      </c>
      <c r="DK73" s="39">
        <f t="shared" si="87"/>
        <v>1596146.7782185136</v>
      </c>
      <c r="DL73" s="39">
        <f t="shared" si="88"/>
        <v>1620397.6270588501</v>
      </c>
      <c r="DM73" s="39">
        <f t="shared" si="89"/>
        <v>1693150.1735798598</v>
      </c>
      <c r="DN73" s="39">
        <f t="shared" si="89"/>
        <v>2094391.4907563368</v>
      </c>
      <c r="DO73" s="39">
        <f t="shared" si="89"/>
        <v>3002696.0109580327</v>
      </c>
      <c r="DP73" s="243">
        <f t="shared" si="89"/>
        <v>4845760.522823609</v>
      </c>
      <c r="DQ73" s="39">
        <f>DK73+Commerical!I73</f>
        <v>1596146.7782185136</v>
      </c>
      <c r="DR73" s="39">
        <f>DL73+Commerical!J73</f>
        <v>1620397.6270588501</v>
      </c>
      <c r="DS73" s="39">
        <f>DM73+Commerical!K73</f>
        <v>1693150.1735798598</v>
      </c>
      <c r="DT73" s="39">
        <f>DN73+Commerical!L73</f>
        <v>2094391.4907563368</v>
      </c>
      <c r="DU73" s="39">
        <f>DO73+Commerical!M73</f>
        <v>3002696.0109580327</v>
      </c>
      <c r="DV73" s="243">
        <f>DP73+Commerical!N73</f>
        <v>4845760.522823609</v>
      </c>
      <c r="DW73" s="39"/>
      <c r="DX73" s="39"/>
      <c r="DY73" s="38"/>
      <c r="DZ73" s="38"/>
      <c r="EA73" s="546"/>
      <c r="EB73" s="38"/>
      <c r="EC73" s="38"/>
      <c r="ED73" s="38"/>
    </row>
    <row r="74" spans="1:134" ht="12.75">
      <c r="A74" s="88" t="s">
        <v>719</v>
      </c>
      <c r="B74" s="29">
        <f>Commerical!B74</f>
        <v>4</v>
      </c>
      <c r="C74" s="41"/>
      <c r="E74" s="41"/>
      <c r="F74" s="41"/>
      <c r="G74" s="235"/>
      <c r="H74" s="41"/>
      <c r="I74" s="205"/>
      <c r="J74" s="205"/>
      <c r="K74" s="205"/>
      <c r="L74" s="216"/>
      <c r="M74" s="205"/>
      <c r="N74" s="205"/>
      <c r="O74" s="205"/>
      <c r="P74" s="205"/>
      <c r="Q74" s="205"/>
      <c r="R74" s="271"/>
      <c r="S74" s="205">
        <v>2854</v>
      </c>
      <c r="T74" s="205">
        <v>2942</v>
      </c>
      <c r="U74" s="205">
        <v>1787</v>
      </c>
      <c r="V74" s="398">
        <v>477</v>
      </c>
      <c r="W74" s="397">
        <v>1347</v>
      </c>
      <c r="X74" s="216">
        <v>1117</v>
      </c>
      <c r="Y74" s="205"/>
      <c r="Z74" s="205"/>
      <c r="AA74" s="205"/>
      <c r="AB74" s="205"/>
      <c r="AC74" s="38"/>
      <c r="AD74" s="41"/>
      <c r="AE74" s="616"/>
      <c r="AF74" s="205"/>
      <c r="AG74" s="205"/>
      <c r="AH74" s="205"/>
      <c r="AI74" s="205"/>
      <c r="AJ74" s="216"/>
      <c r="AK74" s="205"/>
      <c r="AL74" s="205"/>
      <c r="AM74" s="41"/>
      <c r="AN74" s="41"/>
      <c r="AO74" s="41"/>
      <c r="AP74" s="498"/>
      <c r="AQ74" s="39"/>
      <c r="AR74" s="39"/>
      <c r="AS74" s="205"/>
      <c r="AT74" s="205"/>
      <c r="AU74" s="205"/>
      <c r="AV74" s="235"/>
      <c r="AW74" s="41">
        <f t="shared" si="74"/>
        <v>2854</v>
      </c>
      <c r="AX74" s="41">
        <f t="shared" si="75"/>
        <v>2942</v>
      </c>
      <c r="AY74" s="41">
        <f t="shared" si="76"/>
        <v>1787</v>
      </c>
      <c r="AZ74" s="41">
        <f t="shared" si="77"/>
        <v>477</v>
      </c>
      <c r="BA74" s="41">
        <f t="shared" si="77"/>
        <v>1347</v>
      </c>
      <c r="BB74" s="237">
        <f t="shared" si="78"/>
        <v>1117</v>
      </c>
      <c r="BC74" s="41">
        <f t="shared" si="79"/>
        <v>1572998.2406891014</v>
      </c>
      <c r="BD74" s="41">
        <f t="shared" si="80"/>
        <v>1621499.9383697745</v>
      </c>
      <c r="BE74" s="41">
        <f t="shared" si="81"/>
        <v>984915.1563109405</v>
      </c>
      <c r="BF74" s="41">
        <f t="shared" si="81"/>
        <v>262901.2476554665</v>
      </c>
      <c r="BG74" s="41">
        <f t="shared" si="81"/>
        <v>742406.6679075753</v>
      </c>
      <c r="BH74" s="237">
        <f t="shared" si="81"/>
        <v>615640.8671512706</v>
      </c>
      <c r="BI74" s="41"/>
      <c r="BJ74" s="41"/>
      <c r="BK74" s="41"/>
      <c r="BL74" s="286"/>
      <c r="BM74" s="41"/>
      <c r="BN74" s="216"/>
      <c r="BO74" s="205"/>
      <c r="BP74" s="205"/>
      <c r="BQ74" s="205"/>
      <c r="BR74" s="205"/>
      <c r="BS74" s="205"/>
      <c r="BT74" s="216"/>
      <c r="BU74" s="205"/>
      <c r="BV74" s="205"/>
      <c r="BW74" s="205"/>
      <c r="BX74" s="205"/>
      <c r="BY74" s="205"/>
      <c r="BZ74" s="235"/>
      <c r="CA74" s="41"/>
      <c r="CB74" s="41"/>
      <c r="CC74" s="205"/>
      <c r="CD74" s="205"/>
      <c r="CE74" s="400"/>
      <c r="CF74" s="216"/>
      <c r="CG74" s="205"/>
      <c r="CH74" s="205"/>
      <c r="CI74" s="39"/>
      <c r="CJ74" s="286"/>
      <c r="CK74" s="286"/>
      <c r="CL74" s="498"/>
      <c r="CM74" s="39"/>
      <c r="CN74" s="39"/>
      <c r="CO74" s="39"/>
      <c r="CP74" s="205"/>
      <c r="CQ74" s="205"/>
      <c r="CR74" s="282"/>
      <c r="CS74" s="205"/>
      <c r="CT74" s="41"/>
      <c r="CU74" s="41"/>
      <c r="CV74" s="41"/>
      <c r="CW74" s="41"/>
      <c r="CX74" s="237"/>
      <c r="CY74" s="41"/>
      <c r="CZ74" s="41"/>
      <c r="DA74" s="39"/>
      <c r="DB74" s="41"/>
      <c r="DC74" s="41"/>
      <c r="DD74" s="237"/>
      <c r="DE74" s="39">
        <f t="shared" si="84"/>
        <v>2854</v>
      </c>
      <c r="DF74" s="39">
        <f t="shared" si="85"/>
        <v>2942</v>
      </c>
      <c r="DG74" s="39">
        <f t="shared" si="86"/>
        <v>1787</v>
      </c>
      <c r="DH74" s="39">
        <f t="shared" si="86"/>
        <v>477</v>
      </c>
      <c r="DI74" s="39">
        <f t="shared" si="86"/>
        <v>1347</v>
      </c>
      <c r="DJ74" s="243">
        <f t="shared" si="86"/>
        <v>1117</v>
      </c>
      <c r="DK74" s="39">
        <f t="shared" si="87"/>
        <v>1572998.2406891014</v>
      </c>
      <c r="DL74" s="39">
        <f t="shared" si="88"/>
        <v>1621499.9383697745</v>
      </c>
      <c r="DM74" s="39">
        <f t="shared" si="89"/>
        <v>984915.1563109405</v>
      </c>
      <c r="DN74" s="39">
        <f t="shared" si="89"/>
        <v>262901.2476554665</v>
      </c>
      <c r="DO74" s="39">
        <f t="shared" si="89"/>
        <v>742406.6679075753</v>
      </c>
      <c r="DP74" s="243">
        <f t="shared" si="89"/>
        <v>615640.8671512706</v>
      </c>
      <c r="DQ74" s="39">
        <f>DK74+Commerical!I74</f>
        <v>1572998.2406891014</v>
      </c>
      <c r="DR74" s="39">
        <f>DL74+Commerical!J74</f>
        <v>1621499.9383697745</v>
      </c>
      <c r="DS74" s="39">
        <f>DM74+Commerical!K74</f>
        <v>984915.1563109405</v>
      </c>
      <c r="DT74" s="39">
        <f>DN74+Commerical!L74</f>
        <v>262901.2476554665</v>
      </c>
      <c r="DU74" s="39">
        <f>DO74+Commerical!M74</f>
        <v>742406.6679075753</v>
      </c>
      <c r="DV74" s="243">
        <f>DP74+Commerical!N74</f>
        <v>615640.8671512706</v>
      </c>
      <c r="DW74" s="39"/>
      <c r="DY74" s="39"/>
      <c r="DZ74" s="38"/>
      <c r="EB74" s="38"/>
      <c r="EC74" s="38"/>
      <c r="ED74" s="38"/>
    </row>
    <row r="75" spans="1:134" ht="12.75">
      <c r="A75" s="88" t="s">
        <v>698</v>
      </c>
      <c r="B75" s="29">
        <f>Commerical!B75</f>
        <v>4</v>
      </c>
      <c r="C75" s="41">
        <v>808</v>
      </c>
      <c r="D75" s="397">
        <v>671</v>
      </c>
      <c r="E75" s="398">
        <v>452</v>
      </c>
      <c r="F75" s="398">
        <v>822</v>
      </c>
      <c r="G75" s="494">
        <v>956</v>
      </c>
      <c r="H75" s="401"/>
      <c r="I75" s="205"/>
      <c r="J75" s="205"/>
      <c r="K75" s="205"/>
      <c r="L75" s="216"/>
      <c r="M75" s="205"/>
      <c r="N75" s="205"/>
      <c r="O75" s="205"/>
      <c r="P75" s="205"/>
      <c r="Q75" s="205"/>
      <c r="R75" s="271">
        <v>1118</v>
      </c>
      <c r="S75" s="205"/>
      <c r="T75" s="205"/>
      <c r="U75" s="205"/>
      <c r="V75" s="205"/>
      <c r="W75" s="205"/>
      <c r="X75" s="216"/>
      <c r="Y75" s="205"/>
      <c r="Z75" s="205"/>
      <c r="AA75" s="205"/>
      <c r="AB75" s="398"/>
      <c r="AC75" s="38"/>
      <c r="AD75" s="398"/>
      <c r="AE75" s="624"/>
      <c r="AF75" s="205"/>
      <c r="AG75" s="205"/>
      <c r="AH75" s="205"/>
      <c r="AI75" s="205"/>
      <c r="AJ75" s="216"/>
      <c r="AK75" s="205"/>
      <c r="AL75" s="205"/>
      <c r="AM75" s="41"/>
      <c r="AN75" s="41"/>
      <c r="AO75" s="41"/>
      <c r="AP75" s="498"/>
      <c r="AQ75" s="39"/>
      <c r="AR75" s="39"/>
      <c r="AS75" s="205"/>
      <c r="AT75" s="205"/>
      <c r="AU75" s="205"/>
      <c r="AV75" s="235"/>
      <c r="AW75" s="41">
        <f t="shared" si="74"/>
        <v>808</v>
      </c>
      <c r="AX75" s="41">
        <f t="shared" si="75"/>
        <v>671</v>
      </c>
      <c r="AY75" s="41">
        <f t="shared" si="76"/>
        <v>452</v>
      </c>
      <c r="AZ75" s="41">
        <f t="shared" si="77"/>
        <v>822</v>
      </c>
      <c r="BA75" s="41">
        <f t="shared" si="77"/>
        <v>956</v>
      </c>
      <c r="BB75" s="237">
        <f t="shared" si="78"/>
        <v>1118</v>
      </c>
      <c r="BC75" s="41">
        <f t="shared" si="79"/>
        <v>445333.76961345266</v>
      </c>
      <c r="BD75" s="41">
        <f t="shared" si="80"/>
        <v>369825.4448151321</v>
      </c>
      <c r="BE75" s="41">
        <f t="shared" si="81"/>
        <v>249122.35626891165</v>
      </c>
      <c r="BF75" s="41">
        <f t="shared" si="81"/>
        <v>453049.9487899234</v>
      </c>
      <c r="BG75" s="41">
        <f t="shared" si="81"/>
        <v>526904.8066218573</v>
      </c>
      <c r="BH75" s="237">
        <f t="shared" si="81"/>
        <v>616192.0228067328</v>
      </c>
      <c r="BI75" s="41"/>
      <c r="BJ75" s="41"/>
      <c r="BK75" s="41"/>
      <c r="BL75" s="286"/>
      <c r="BM75" s="41"/>
      <c r="BN75" s="216"/>
      <c r="BO75" s="205"/>
      <c r="BP75" s="205"/>
      <c r="BQ75" s="205"/>
      <c r="BR75" s="205"/>
      <c r="BS75" s="205"/>
      <c r="BT75" s="216"/>
      <c r="BU75" s="205"/>
      <c r="BV75" s="205"/>
      <c r="BW75" s="205"/>
      <c r="BX75" s="205"/>
      <c r="BY75" s="205"/>
      <c r="BZ75" s="235"/>
      <c r="CA75" s="41"/>
      <c r="CB75" s="41"/>
      <c r="CC75" s="205"/>
      <c r="CD75" s="205"/>
      <c r="CE75" s="400"/>
      <c r="CF75" s="216"/>
      <c r="CG75" s="205"/>
      <c r="CH75" s="205"/>
      <c r="CI75" s="39"/>
      <c r="CJ75" s="286"/>
      <c r="CK75" s="286"/>
      <c r="CL75" s="498"/>
      <c r="CM75" s="39"/>
      <c r="CN75" s="39"/>
      <c r="CO75" s="39"/>
      <c r="CP75" s="205"/>
      <c r="CQ75" s="205"/>
      <c r="CR75" s="282"/>
      <c r="CS75" s="205"/>
      <c r="CT75" s="41"/>
      <c r="CU75" s="41"/>
      <c r="CV75" s="41"/>
      <c r="CW75" s="41"/>
      <c r="CX75" s="237"/>
      <c r="CY75" s="41"/>
      <c r="CZ75" s="41"/>
      <c r="DA75" s="39"/>
      <c r="DB75" s="41"/>
      <c r="DC75" s="41"/>
      <c r="DD75" s="237"/>
      <c r="DE75" s="39">
        <f t="shared" si="84"/>
        <v>808</v>
      </c>
      <c r="DF75" s="39">
        <f t="shared" si="85"/>
        <v>671</v>
      </c>
      <c r="DG75" s="39">
        <f t="shared" si="86"/>
        <v>452</v>
      </c>
      <c r="DH75" s="39">
        <f t="shared" si="86"/>
        <v>822</v>
      </c>
      <c r="DI75" s="39">
        <f t="shared" si="86"/>
        <v>956</v>
      </c>
      <c r="DJ75" s="243">
        <f t="shared" si="86"/>
        <v>1118</v>
      </c>
      <c r="DK75" s="39">
        <f t="shared" si="87"/>
        <v>445333.76961345266</v>
      </c>
      <c r="DL75" s="39">
        <f t="shared" si="88"/>
        <v>369825.4448151321</v>
      </c>
      <c r="DM75" s="39">
        <f t="shared" si="89"/>
        <v>249122.35626891165</v>
      </c>
      <c r="DN75" s="39">
        <f t="shared" si="89"/>
        <v>453049.9487899234</v>
      </c>
      <c r="DO75" s="39">
        <f t="shared" si="89"/>
        <v>526904.8066218573</v>
      </c>
      <c r="DP75" s="243">
        <f t="shared" si="89"/>
        <v>616192.0228067328</v>
      </c>
      <c r="DQ75" s="39">
        <f>DK75+Commerical!I75</f>
        <v>445333.76961345266</v>
      </c>
      <c r="DR75" s="39">
        <f>DL75+Commerical!J75</f>
        <v>369825.4448151321</v>
      </c>
      <c r="DS75" s="39">
        <f>DM75+Commerical!K75</f>
        <v>249122.35626891165</v>
      </c>
      <c r="DT75" s="39">
        <f>DN75+Commerical!L75</f>
        <v>453049.9487899234</v>
      </c>
      <c r="DU75" s="39">
        <f>DO75+Commerical!M75</f>
        <v>526904.8066218573</v>
      </c>
      <c r="DV75" s="243">
        <f>DP75+Commerical!N75</f>
        <v>616192.0228067328</v>
      </c>
      <c r="DW75" s="39"/>
      <c r="DY75" s="39"/>
      <c r="DZ75" s="38"/>
      <c r="EB75" s="38"/>
      <c r="EC75" s="38"/>
      <c r="ED75" s="38"/>
    </row>
    <row r="76" spans="1:134" ht="13.5">
      <c r="A76" s="88" t="s">
        <v>718</v>
      </c>
      <c r="B76" s="29">
        <f>Commerical!B76</f>
        <v>2.5</v>
      </c>
      <c r="C76" s="41"/>
      <c r="D76" s="397"/>
      <c r="E76" s="398"/>
      <c r="F76" s="398"/>
      <c r="G76" s="494"/>
      <c r="H76" s="401">
        <v>220</v>
      </c>
      <c r="I76" s="205">
        <v>46</v>
      </c>
      <c r="J76" s="400">
        <v>56</v>
      </c>
      <c r="K76" s="400">
        <v>44</v>
      </c>
      <c r="L76" s="494">
        <v>37</v>
      </c>
      <c r="M76" s="401"/>
      <c r="N76" s="205"/>
      <c r="O76" s="205"/>
      <c r="P76" s="205"/>
      <c r="Q76" s="205"/>
      <c r="R76" s="271">
        <v>62</v>
      </c>
      <c r="S76" s="205">
        <v>376</v>
      </c>
      <c r="T76" s="205">
        <v>476</v>
      </c>
      <c r="U76" s="205">
        <v>1261</v>
      </c>
      <c r="V76" s="397">
        <v>2327</v>
      </c>
      <c r="W76" s="397">
        <v>2894</v>
      </c>
      <c r="X76" s="216">
        <v>2491</v>
      </c>
      <c r="Y76" s="205"/>
      <c r="Z76" s="205"/>
      <c r="AA76" s="205"/>
      <c r="AB76" s="205"/>
      <c r="AC76" s="38"/>
      <c r="AD76" s="41"/>
      <c r="AE76" s="616"/>
      <c r="AF76" s="205"/>
      <c r="AG76" s="205"/>
      <c r="AH76" s="205"/>
      <c r="AI76" s="205"/>
      <c r="AJ76" s="216"/>
      <c r="AK76" s="205"/>
      <c r="AL76" s="205"/>
      <c r="AM76" s="41"/>
      <c r="AN76" s="41"/>
      <c r="AO76" s="41"/>
      <c r="AP76" s="498"/>
      <c r="AQ76" s="39"/>
      <c r="AR76" s="39"/>
      <c r="AS76" s="205"/>
      <c r="AT76" s="205"/>
      <c r="AU76" s="205"/>
      <c r="AV76" s="235"/>
      <c r="AW76" s="41">
        <f t="shared" si="74"/>
        <v>596</v>
      </c>
      <c r="AX76" s="41">
        <f t="shared" si="75"/>
        <v>522</v>
      </c>
      <c r="AY76" s="41">
        <f t="shared" si="76"/>
        <v>1317</v>
      </c>
      <c r="AZ76" s="41">
        <f t="shared" si="77"/>
        <v>2371</v>
      </c>
      <c r="BA76" s="41">
        <f t="shared" si="77"/>
        <v>2931</v>
      </c>
      <c r="BB76" s="237">
        <f t="shared" si="78"/>
        <v>2553</v>
      </c>
      <c r="BC76" s="41">
        <f t="shared" si="79"/>
        <v>525582.0330487482</v>
      </c>
      <c r="BD76" s="41">
        <f t="shared" si="80"/>
        <v>460325.20344202436</v>
      </c>
      <c r="BE76" s="41">
        <f t="shared" si="81"/>
        <v>1161395.197189935</v>
      </c>
      <c r="BF76" s="41">
        <f t="shared" si="81"/>
        <v>2090864.094561379</v>
      </c>
      <c r="BG76" s="41">
        <f t="shared" si="81"/>
        <v>2584699.5618555048</v>
      </c>
      <c r="BH76" s="237">
        <f t="shared" si="81"/>
        <v>2251360.62143197</v>
      </c>
      <c r="BI76" s="41"/>
      <c r="BJ76" s="41"/>
      <c r="BK76" s="41"/>
      <c r="BL76" s="286"/>
      <c r="BM76" s="41"/>
      <c r="BN76" s="216"/>
      <c r="BO76" s="205"/>
      <c r="BP76" s="205"/>
      <c r="BQ76" s="205"/>
      <c r="BR76" s="205"/>
      <c r="BS76" s="205"/>
      <c r="BT76" s="216"/>
      <c r="BU76" s="205"/>
      <c r="BV76" s="205"/>
      <c r="BW76" s="205"/>
      <c r="BX76" s="205"/>
      <c r="BY76" s="205"/>
      <c r="BZ76" s="235"/>
      <c r="CA76" s="41"/>
      <c r="CB76" s="41"/>
      <c r="CC76" s="205"/>
      <c r="CD76" s="205"/>
      <c r="CE76" s="515"/>
      <c r="CF76" s="216"/>
      <c r="CG76" s="205"/>
      <c r="CH76" s="205"/>
      <c r="CI76" s="39"/>
      <c r="CJ76" s="407"/>
      <c r="CK76" s="407"/>
      <c r="CL76" s="498"/>
      <c r="CM76" s="39"/>
      <c r="CN76" s="39"/>
      <c r="CO76" s="39"/>
      <c r="CP76" s="205"/>
      <c r="CQ76" s="205"/>
      <c r="CR76" s="282"/>
      <c r="CS76" s="205"/>
      <c r="CT76" s="41"/>
      <c r="CU76" s="41"/>
      <c r="CV76" s="41"/>
      <c r="CW76" s="41"/>
      <c r="CX76" s="237"/>
      <c r="CY76" s="41"/>
      <c r="CZ76" s="41"/>
      <c r="DA76" s="39"/>
      <c r="DB76" s="41"/>
      <c r="DC76" s="41"/>
      <c r="DD76" s="224"/>
      <c r="DE76" s="39">
        <f t="shared" si="84"/>
        <v>596</v>
      </c>
      <c r="DF76" s="39">
        <f t="shared" si="85"/>
        <v>522</v>
      </c>
      <c r="DG76" s="39">
        <f t="shared" si="86"/>
        <v>1317</v>
      </c>
      <c r="DH76" s="39">
        <f t="shared" si="86"/>
        <v>2371</v>
      </c>
      <c r="DI76" s="39">
        <f t="shared" si="86"/>
        <v>2931</v>
      </c>
      <c r="DJ76" s="243">
        <f t="shared" si="86"/>
        <v>2553</v>
      </c>
      <c r="DK76" s="39">
        <f t="shared" si="87"/>
        <v>525582.0330487482</v>
      </c>
      <c r="DL76" s="39">
        <f t="shared" si="88"/>
        <v>460325.20344202436</v>
      </c>
      <c r="DM76" s="39">
        <f t="shared" si="89"/>
        <v>1161395.197189935</v>
      </c>
      <c r="DN76" s="39">
        <f t="shared" si="89"/>
        <v>2090864.094561379</v>
      </c>
      <c r="DO76" s="39">
        <f t="shared" si="89"/>
        <v>2584699.5618555048</v>
      </c>
      <c r="DP76" s="243">
        <f t="shared" si="89"/>
        <v>2251360.62143197</v>
      </c>
      <c r="DQ76" s="39">
        <f>DK76+Commerical!I76</f>
        <v>525582.0330487482</v>
      </c>
      <c r="DR76" s="39">
        <f>DL76+Commerical!J76</f>
        <v>460325.20344202436</v>
      </c>
      <c r="DS76" s="39">
        <f>DM76+Commerical!K76</f>
        <v>1161395.197189935</v>
      </c>
      <c r="DT76" s="39">
        <f>DN76+Commerical!L76</f>
        <v>2090864.094561379</v>
      </c>
      <c r="DU76" s="39">
        <f>DO76+Commerical!M76</f>
        <v>2584699.5618555048</v>
      </c>
      <c r="DV76" s="243">
        <f>DP76+Commerical!N76</f>
        <v>2251360.62143197</v>
      </c>
      <c r="DW76" s="39"/>
      <c r="DX76" s="39"/>
      <c r="DY76" s="38"/>
      <c r="DZ76" s="38"/>
      <c r="EA76" s="546"/>
      <c r="EB76" s="38"/>
      <c r="EC76" s="38"/>
      <c r="ED76" s="38"/>
    </row>
    <row r="77" spans="1:134" ht="12.75">
      <c r="A77" s="88" t="s">
        <v>729</v>
      </c>
      <c r="B77" s="29">
        <f>Commerical!B77</f>
        <v>7</v>
      </c>
      <c r="C77" s="41"/>
      <c r="D77" s="397"/>
      <c r="E77" s="398"/>
      <c r="F77" s="398"/>
      <c r="G77" s="494"/>
      <c r="H77" s="401"/>
      <c r="I77" s="205"/>
      <c r="J77" s="205"/>
      <c r="K77" s="205"/>
      <c r="L77" s="216"/>
      <c r="M77" s="205">
        <v>1</v>
      </c>
      <c r="N77" s="205">
        <v>18</v>
      </c>
      <c r="O77" s="205">
        <v>31</v>
      </c>
      <c r="P77" s="205">
        <v>1</v>
      </c>
      <c r="Q77" s="205">
        <v>0</v>
      </c>
      <c r="R77" s="271"/>
      <c r="S77" s="205">
        <v>24</v>
      </c>
      <c r="T77" s="205">
        <v>35</v>
      </c>
      <c r="U77" s="205">
        <v>45</v>
      </c>
      <c r="V77" s="398">
        <v>41</v>
      </c>
      <c r="W77" s="398">
        <v>11</v>
      </c>
      <c r="X77" s="216"/>
      <c r="Y77" s="205"/>
      <c r="Z77" s="205"/>
      <c r="AA77" s="205"/>
      <c r="AB77" s="205"/>
      <c r="AC77" s="38"/>
      <c r="AD77" s="41"/>
      <c r="AE77" s="616"/>
      <c r="AF77" s="205"/>
      <c r="AG77" s="205"/>
      <c r="AH77" s="205"/>
      <c r="AI77" s="205"/>
      <c r="AJ77" s="216"/>
      <c r="AK77" s="205"/>
      <c r="AL77" s="205"/>
      <c r="AM77" s="41"/>
      <c r="AN77" s="41"/>
      <c r="AO77" s="41"/>
      <c r="AP77" s="498"/>
      <c r="AQ77" s="39"/>
      <c r="AR77" s="39"/>
      <c r="AS77" s="205"/>
      <c r="AT77" s="205"/>
      <c r="AU77" s="205"/>
      <c r="AV77" s="235"/>
      <c r="AW77" s="41">
        <f t="shared" si="74"/>
        <v>25</v>
      </c>
      <c r="AX77" s="41">
        <f t="shared" si="75"/>
        <v>53</v>
      </c>
      <c r="AY77" s="41">
        <f t="shared" si="76"/>
        <v>76</v>
      </c>
      <c r="AZ77" s="41">
        <f t="shared" si="77"/>
        <v>42</v>
      </c>
      <c r="BA77" s="41">
        <f t="shared" si="77"/>
        <v>11</v>
      </c>
      <c r="BB77" s="237">
        <f t="shared" si="78"/>
        <v>0</v>
      </c>
      <c r="BC77" s="41">
        <f t="shared" si="79"/>
        <v>7873.652220888484</v>
      </c>
      <c r="BD77" s="41">
        <f t="shared" si="80"/>
        <v>16692.142708283587</v>
      </c>
      <c r="BE77" s="41">
        <f t="shared" si="81"/>
        <v>23935.90275150099</v>
      </c>
      <c r="BF77" s="41">
        <f t="shared" si="81"/>
        <v>13227.735731092655</v>
      </c>
      <c r="BG77" s="41">
        <f t="shared" si="81"/>
        <v>3464.4069771909335</v>
      </c>
      <c r="BH77" s="237">
        <f t="shared" si="81"/>
        <v>0</v>
      </c>
      <c r="BI77" s="210"/>
      <c r="BJ77" s="210"/>
      <c r="BK77" s="41"/>
      <c r="BL77" s="286"/>
      <c r="BM77" s="41"/>
      <c r="BN77" s="216"/>
      <c r="BO77" s="205"/>
      <c r="BP77" s="205"/>
      <c r="BQ77" s="205"/>
      <c r="BR77" s="205"/>
      <c r="BS77" s="205"/>
      <c r="BT77" s="216"/>
      <c r="BU77" s="205"/>
      <c r="BV77" s="205"/>
      <c r="BW77" s="205"/>
      <c r="BX77" s="205"/>
      <c r="BY77" s="205"/>
      <c r="BZ77" s="235"/>
      <c r="CA77" s="41"/>
      <c r="CB77" s="41"/>
      <c r="CC77" s="205"/>
      <c r="CD77" s="205"/>
      <c r="CE77" s="400"/>
      <c r="CF77" s="216"/>
      <c r="CG77" s="205"/>
      <c r="CH77" s="205"/>
      <c r="CI77" s="39"/>
      <c r="CJ77" s="286"/>
      <c r="CK77" s="286"/>
      <c r="CL77" s="498"/>
      <c r="CM77" s="39"/>
      <c r="CN77" s="39"/>
      <c r="CO77" s="39"/>
      <c r="CP77" s="205"/>
      <c r="CQ77" s="205"/>
      <c r="CR77" s="282"/>
      <c r="CS77" s="205"/>
      <c r="CT77" s="41"/>
      <c r="CU77" s="41"/>
      <c r="CV77" s="41"/>
      <c r="CW77" s="41"/>
      <c r="CX77" s="237"/>
      <c r="CY77" s="41"/>
      <c r="CZ77" s="41"/>
      <c r="DA77" s="39"/>
      <c r="DB77" s="41"/>
      <c r="DC77" s="41"/>
      <c r="DD77" s="224"/>
      <c r="DE77" s="39">
        <f t="shared" si="84"/>
        <v>25</v>
      </c>
      <c r="DF77" s="39">
        <f t="shared" si="85"/>
        <v>53</v>
      </c>
      <c r="DG77" s="39">
        <f t="shared" si="86"/>
        <v>76</v>
      </c>
      <c r="DH77" s="39">
        <f t="shared" si="86"/>
        <v>42</v>
      </c>
      <c r="DI77" s="39">
        <f t="shared" si="86"/>
        <v>11</v>
      </c>
      <c r="DJ77" s="243">
        <f t="shared" si="86"/>
        <v>0</v>
      </c>
      <c r="DK77" s="39">
        <f t="shared" si="87"/>
        <v>7873.652220888484</v>
      </c>
      <c r="DL77" s="39">
        <f t="shared" si="88"/>
        <v>16692.142708283587</v>
      </c>
      <c r="DM77" s="39">
        <f t="shared" si="89"/>
        <v>23935.90275150099</v>
      </c>
      <c r="DN77" s="39">
        <f t="shared" si="89"/>
        <v>13227.735731092655</v>
      </c>
      <c r="DO77" s="39">
        <f t="shared" si="89"/>
        <v>3464.4069771909335</v>
      </c>
      <c r="DP77" s="243">
        <f t="shared" si="89"/>
        <v>0</v>
      </c>
      <c r="DQ77" s="39">
        <f>DK77+Commerical!I77</f>
        <v>7873.652220888484</v>
      </c>
      <c r="DR77" s="39">
        <f>DL77+Commerical!J77</f>
        <v>16692.142708283587</v>
      </c>
      <c r="DS77" s="39">
        <f>DM77+Commerical!K77</f>
        <v>23935.90275150099</v>
      </c>
      <c r="DT77" s="39">
        <f>DN77+Commerical!L77</f>
        <v>13227.735731092655</v>
      </c>
      <c r="DU77" s="39">
        <f>DO77+Commerical!M77</f>
        <v>3464.4069771909335</v>
      </c>
      <c r="DV77" s="243">
        <f>DP77+Commerical!N77</f>
        <v>0</v>
      </c>
      <c r="DW77" s="39"/>
      <c r="DX77" s="39"/>
      <c r="DY77" s="38"/>
      <c r="DZ77" s="38"/>
      <c r="EA77" s="546"/>
      <c r="EB77" s="38"/>
      <c r="EC77" s="38"/>
      <c r="ED77" s="38"/>
    </row>
    <row r="78" spans="1:134" ht="12.75">
      <c r="A78" s="88" t="s">
        <v>697</v>
      </c>
      <c r="B78" s="29">
        <f>Commerical!B78</f>
        <v>4.75</v>
      </c>
      <c r="C78" s="41">
        <v>785</v>
      </c>
      <c r="D78" s="397">
        <v>605</v>
      </c>
      <c r="E78" s="398">
        <v>245</v>
      </c>
      <c r="F78" s="398">
        <v>478</v>
      </c>
      <c r="G78" s="495">
        <v>1048</v>
      </c>
      <c r="H78" s="401"/>
      <c r="I78" s="205"/>
      <c r="J78" s="205"/>
      <c r="K78" s="205"/>
      <c r="L78" s="216"/>
      <c r="M78" s="205"/>
      <c r="N78" s="205"/>
      <c r="O78" s="205"/>
      <c r="P78" s="205"/>
      <c r="Q78" s="205"/>
      <c r="R78" s="271">
        <v>640</v>
      </c>
      <c r="S78" s="205"/>
      <c r="V78" s="205"/>
      <c r="W78" s="205"/>
      <c r="X78" s="216"/>
      <c r="Y78" s="205"/>
      <c r="Z78" s="205"/>
      <c r="AA78" s="205"/>
      <c r="AB78" s="205"/>
      <c r="AC78" s="38"/>
      <c r="AD78" s="41"/>
      <c r="AE78" s="616"/>
      <c r="AF78" s="205"/>
      <c r="AG78" s="205"/>
      <c r="AH78" s="205"/>
      <c r="AI78" s="205"/>
      <c r="AJ78" s="216"/>
      <c r="AK78" s="205"/>
      <c r="AL78" s="205"/>
      <c r="AM78" s="41"/>
      <c r="AN78" s="41"/>
      <c r="AO78" s="41"/>
      <c r="AP78" s="498"/>
      <c r="AQ78" s="39"/>
      <c r="AR78" s="39"/>
      <c r="AS78" s="205"/>
      <c r="AT78" s="205"/>
      <c r="AU78" s="205"/>
      <c r="AV78" s="235"/>
      <c r="AW78" s="41">
        <f t="shared" si="74"/>
        <v>785</v>
      </c>
      <c r="AX78" s="41">
        <f t="shared" si="75"/>
        <v>605</v>
      </c>
      <c r="AY78" s="41">
        <f t="shared" si="76"/>
        <v>245</v>
      </c>
      <c r="AZ78" s="41">
        <f t="shared" si="77"/>
        <v>478</v>
      </c>
      <c r="BA78" s="41">
        <f t="shared" si="77"/>
        <v>1048</v>
      </c>
      <c r="BB78" s="237">
        <f t="shared" si="78"/>
        <v>640</v>
      </c>
      <c r="BC78" s="41">
        <f t="shared" si="79"/>
        <v>364342.89645290293</v>
      </c>
      <c r="BD78" s="41">
        <f>AX78*1000/0.45359237/$B78</f>
        <v>280799.30236179143</v>
      </c>
      <c r="BE78" s="41">
        <f>AY78*1000/0.45359237/$B78</f>
        <v>113712.11417956844</v>
      </c>
      <c r="BF78" s="41">
        <f>AZ78*1000/0.45359237/$B78</f>
        <v>221854.65541972942</v>
      </c>
      <c r="BG78" s="41">
        <f>BA78*1000/0.45359237/$B78</f>
        <v>486409.37004158256</v>
      </c>
      <c r="BH78" s="237">
        <f>BB78*1000/0.45359237/$B78</f>
        <v>297043.8901017298</v>
      </c>
      <c r="BI78" s="41"/>
      <c r="BJ78" s="41"/>
      <c r="BK78" s="41"/>
      <c r="BL78" s="286"/>
      <c r="BM78" s="41"/>
      <c r="BN78" s="216"/>
      <c r="BO78" s="205"/>
      <c r="BP78" s="205"/>
      <c r="BQ78" s="205"/>
      <c r="BR78" s="205"/>
      <c r="BS78" s="205"/>
      <c r="BT78" s="216"/>
      <c r="BU78" s="205"/>
      <c r="BV78" s="205"/>
      <c r="BW78" s="205"/>
      <c r="BX78" s="205"/>
      <c r="BY78" s="205"/>
      <c r="BZ78" s="235"/>
      <c r="CA78" s="41"/>
      <c r="CB78" s="41"/>
      <c r="CC78" s="205"/>
      <c r="CD78" s="205"/>
      <c r="CE78" s="400"/>
      <c r="CF78" s="216"/>
      <c r="CG78" s="205"/>
      <c r="CH78" s="205"/>
      <c r="CI78" s="39"/>
      <c r="CJ78" s="286"/>
      <c r="CK78" s="286"/>
      <c r="CL78" s="498"/>
      <c r="CM78" s="39"/>
      <c r="CN78" s="39"/>
      <c r="CO78" s="39"/>
      <c r="CP78" s="205"/>
      <c r="CQ78" s="205"/>
      <c r="CR78" s="282"/>
      <c r="CS78" s="205"/>
      <c r="CT78" s="41"/>
      <c r="CU78" s="41"/>
      <c r="CV78" s="41"/>
      <c r="CW78" s="41"/>
      <c r="CX78" s="237"/>
      <c r="CY78" s="41"/>
      <c r="CZ78" s="41"/>
      <c r="DA78" s="39"/>
      <c r="DB78" s="41"/>
      <c r="DC78" s="41"/>
      <c r="DD78" s="237"/>
      <c r="DE78" s="39">
        <f t="shared" si="84"/>
        <v>785</v>
      </c>
      <c r="DF78" s="39">
        <f>AX78-CT78</f>
        <v>605</v>
      </c>
      <c r="DG78" s="39">
        <f t="shared" si="86"/>
        <v>245</v>
      </c>
      <c r="DH78" s="39">
        <f t="shared" si="86"/>
        <v>478</v>
      </c>
      <c r="DI78" s="39">
        <f t="shared" si="86"/>
        <v>1048</v>
      </c>
      <c r="DJ78" s="243">
        <f t="shared" si="86"/>
        <v>640</v>
      </c>
      <c r="DK78" s="39">
        <f>BC78-CY78</f>
        <v>364342.89645290293</v>
      </c>
      <c r="DL78" s="39">
        <f>BD78-CZ78</f>
        <v>280799.30236179143</v>
      </c>
      <c r="DM78" s="39">
        <f t="shared" si="89"/>
        <v>113712.11417956844</v>
      </c>
      <c r="DN78" s="39">
        <f t="shared" si="89"/>
        <v>221854.65541972942</v>
      </c>
      <c r="DO78" s="39">
        <f t="shared" si="89"/>
        <v>486409.37004158256</v>
      </c>
      <c r="DP78" s="243">
        <f t="shared" si="89"/>
        <v>297043.8901017298</v>
      </c>
      <c r="DQ78" s="39">
        <f>DK78+Commerical!I78</f>
        <v>364342.89645290293</v>
      </c>
      <c r="DR78" s="39">
        <f>DL78+Commerical!J78</f>
        <v>280799.30236179143</v>
      </c>
      <c r="DS78" s="39">
        <f>DM78+Commerical!K78</f>
        <v>113712.11417956844</v>
      </c>
      <c r="DT78" s="39">
        <f>DN78+Commerical!L78</f>
        <v>221854.65541972942</v>
      </c>
      <c r="DU78" s="39">
        <f>DO78+Commerical!M78</f>
        <v>486409.37004158256</v>
      </c>
      <c r="DV78" s="243">
        <f>DP78+Commerical!N78</f>
        <v>297043.8901017298</v>
      </c>
      <c r="DW78" s="39"/>
      <c r="DY78" s="39"/>
      <c r="DZ78" s="38"/>
      <c r="EB78" s="38"/>
      <c r="EC78" s="38"/>
      <c r="ED78" s="38"/>
    </row>
    <row r="79" spans="1:134" ht="12.75">
      <c r="A79" s="88" t="s">
        <v>221</v>
      </c>
      <c r="B79" s="29">
        <f>Commerical!B79</f>
        <v>7.3854857769999995</v>
      </c>
      <c r="C79" s="41"/>
      <c r="E79" s="41"/>
      <c r="F79" s="41"/>
      <c r="G79" s="235"/>
      <c r="H79" s="41"/>
      <c r="I79" s="205"/>
      <c r="J79" s="205"/>
      <c r="K79" s="205"/>
      <c r="L79" s="216"/>
      <c r="M79" s="205"/>
      <c r="N79" s="205"/>
      <c r="O79" s="205"/>
      <c r="P79" s="205"/>
      <c r="Q79" s="205"/>
      <c r="R79" s="271"/>
      <c r="S79" s="205"/>
      <c r="V79" s="205"/>
      <c r="W79" s="205"/>
      <c r="X79" s="216"/>
      <c r="Y79" s="205"/>
      <c r="Z79" s="205"/>
      <c r="AA79" s="205"/>
      <c r="AB79" s="205"/>
      <c r="AC79" s="38"/>
      <c r="AD79" s="41"/>
      <c r="AE79" s="616"/>
      <c r="AF79" s="205"/>
      <c r="AG79" s="205"/>
      <c r="AH79" s="205"/>
      <c r="AI79" s="205"/>
      <c r="AJ79" s="216"/>
      <c r="AK79" s="205"/>
      <c r="AL79" s="205"/>
      <c r="AM79" s="41"/>
      <c r="AN79" s="41"/>
      <c r="AO79" s="41"/>
      <c r="AP79" s="498"/>
      <c r="AQ79" s="39"/>
      <c r="AR79" s="39"/>
      <c r="AS79" s="205"/>
      <c r="AT79" s="205"/>
      <c r="AU79" s="205"/>
      <c r="AV79" s="235"/>
      <c r="AW79" s="41"/>
      <c r="AX79" s="41"/>
      <c r="AY79" s="41"/>
      <c r="AZ79" s="41"/>
      <c r="BA79" s="41"/>
      <c r="BB79" s="237"/>
      <c r="BC79" s="41"/>
      <c r="BD79" s="41"/>
      <c r="BE79" s="210"/>
      <c r="BF79" s="41"/>
      <c r="BG79" s="41"/>
      <c r="BH79" s="224"/>
      <c r="BI79" s="210"/>
      <c r="BJ79" s="210"/>
      <c r="BK79" s="41"/>
      <c r="BL79" s="286"/>
      <c r="BM79" s="41"/>
      <c r="BN79" s="216"/>
      <c r="BO79" s="205"/>
      <c r="BP79" s="205"/>
      <c r="BQ79" s="205"/>
      <c r="BR79" s="205"/>
      <c r="BS79" s="205"/>
      <c r="BT79" s="216"/>
      <c r="BU79" s="205"/>
      <c r="BV79" s="205"/>
      <c r="BW79" s="205"/>
      <c r="BX79" s="205"/>
      <c r="BY79" s="205"/>
      <c r="BZ79" s="235"/>
      <c r="CA79" s="41"/>
      <c r="CB79" s="41"/>
      <c r="CC79" s="205"/>
      <c r="CD79" s="205"/>
      <c r="CE79" s="400"/>
      <c r="CF79" s="216"/>
      <c r="CG79" s="205"/>
      <c r="CH79" s="205"/>
      <c r="CI79" s="39"/>
      <c r="CJ79" s="286"/>
      <c r="CK79" s="286"/>
      <c r="CL79" s="498"/>
      <c r="CM79" s="39"/>
      <c r="CN79" s="39"/>
      <c r="CO79" s="39"/>
      <c r="CP79" s="205"/>
      <c r="CQ79" s="205"/>
      <c r="CR79" s="282"/>
      <c r="CS79" s="205"/>
      <c r="CT79" s="41"/>
      <c r="CU79" s="41"/>
      <c r="CV79" s="41"/>
      <c r="CW79" s="41"/>
      <c r="CX79" s="237"/>
      <c r="CY79" s="41"/>
      <c r="CZ79" s="41"/>
      <c r="DA79" s="39"/>
      <c r="DB79" s="41"/>
      <c r="DC79" s="41"/>
      <c r="DD79" s="224"/>
      <c r="DE79" s="39"/>
      <c r="DF79" s="39"/>
      <c r="DG79" s="39"/>
      <c r="DH79" s="39"/>
      <c r="DI79" s="39"/>
      <c r="DJ79" s="243"/>
      <c r="DK79" s="39"/>
      <c r="DL79" s="39"/>
      <c r="DM79" s="39"/>
      <c r="DN79" s="39"/>
      <c r="DO79" s="39"/>
      <c r="DP79" s="243"/>
      <c r="DQ79" s="39">
        <f>DK79+Commerical!I79</f>
        <v>2152329.647631789</v>
      </c>
      <c r="DR79" s="39">
        <f>DL79+Commerical!J79</f>
        <v>1537610.4352356945</v>
      </c>
      <c r="DS79" s="39">
        <f>DM79+Commerical!K79</f>
        <v>2226393.834675988</v>
      </c>
      <c r="DT79" s="39">
        <f>DN79+Commerical!L79</f>
        <v>2974482.744034672</v>
      </c>
      <c r="DU79" s="39">
        <f>DO79+Commerical!M79</f>
        <v>2500309.4661027063</v>
      </c>
      <c r="DV79" s="243">
        <f>DP79+Commerical!N79</f>
        <v>1808547.2510957352</v>
      </c>
      <c r="DW79" s="138"/>
      <c r="DX79" s="39"/>
      <c r="DY79" s="38"/>
      <c r="DZ79" s="38"/>
      <c r="EA79" s="546"/>
      <c r="EB79" s="38"/>
      <c r="EC79" s="38"/>
      <c r="ED79" s="38"/>
    </row>
    <row r="80" spans="1:134" ht="13.5">
      <c r="A80" s="88" t="s">
        <v>222</v>
      </c>
      <c r="B80" s="29">
        <f>Commerical!B80</f>
        <v>1.3805492525566665</v>
      </c>
      <c r="C80" s="41"/>
      <c r="E80" s="41"/>
      <c r="F80" s="41"/>
      <c r="G80" s="235"/>
      <c r="H80" s="41"/>
      <c r="I80" s="205"/>
      <c r="J80" s="205"/>
      <c r="K80" s="205"/>
      <c r="L80" s="216"/>
      <c r="M80" s="205"/>
      <c r="N80" s="205"/>
      <c r="O80" s="205"/>
      <c r="P80" s="205"/>
      <c r="Q80" s="205"/>
      <c r="R80" s="271"/>
      <c r="S80" s="205"/>
      <c r="V80" s="205"/>
      <c r="W80" s="205"/>
      <c r="X80" s="216"/>
      <c r="Y80" s="205"/>
      <c r="Z80" s="205"/>
      <c r="AA80" s="205"/>
      <c r="AB80" s="205"/>
      <c r="AC80" s="38"/>
      <c r="AD80" s="41"/>
      <c r="AE80" s="616"/>
      <c r="AF80" s="205"/>
      <c r="AG80" s="205"/>
      <c r="AH80" s="205"/>
      <c r="AI80" s="205"/>
      <c r="AJ80" s="216"/>
      <c r="AK80" s="205"/>
      <c r="AL80" s="205"/>
      <c r="AM80" s="41"/>
      <c r="AN80" s="41"/>
      <c r="AO80" s="41"/>
      <c r="AP80" s="498"/>
      <c r="AQ80" s="39"/>
      <c r="AR80" s="39"/>
      <c r="AS80" s="205"/>
      <c r="AT80" s="205"/>
      <c r="AU80" s="205"/>
      <c r="AV80" s="235"/>
      <c r="AW80" s="41"/>
      <c r="AX80" s="41"/>
      <c r="AY80" s="41"/>
      <c r="AZ80" s="41"/>
      <c r="BA80" s="41"/>
      <c r="BB80" s="237"/>
      <c r="BC80" s="41"/>
      <c r="BD80" s="41"/>
      <c r="BE80" s="210"/>
      <c r="BF80" s="41"/>
      <c r="BG80" s="41"/>
      <c r="BH80" s="224"/>
      <c r="BI80" s="210"/>
      <c r="BJ80" s="210"/>
      <c r="BK80" s="41"/>
      <c r="BL80" s="286"/>
      <c r="BM80" s="41"/>
      <c r="BN80" s="216"/>
      <c r="BO80" s="205"/>
      <c r="BP80" s="205"/>
      <c r="BQ80" s="205"/>
      <c r="BR80" s="205"/>
      <c r="BS80" s="205"/>
      <c r="BT80" s="216"/>
      <c r="BU80" s="205"/>
      <c r="BV80" s="205"/>
      <c r="BW80" s="205"/>
      <c r="BX80" s="205"/>
      <c r="BY80" s="205"/>
      <c r="BZ80" s="235"/>
      <c r="CA80" s="41"/>
      <c r="CB80" s="41"/>
      <c r="CC80" s="205"/>
      <c r="CD80" s="205"/>
      <c r="CE80" s="400"/>
      <c r="CF80" s="216"/>
      <c r="CG80" s="205"/>
      <c r="CH80" s="205"/>
      <c r="CI80" s="39"/>
      <c r="CJ80" s="286"/>
      <c r="CK80" s="286"/>
      <c r="CL80" s="498"/>
      <c r="CM80" s="39"/>
      <c r="CN80" s="39"/>
      <c r="CO80" s="39"/>
      <c r="CP80" s="205"/>
      <c r="CQ80" s="205"/>
      <c r="CR80" s="282"/>
      <c r="CS80" s="205"/>
      <c r="CT80" s="41"/>
      <c r="CU80" s="41"/>
      <c r="CV80" s="41"/>
      <c r="CW80" s="41"/>
      <c r="CX80" s="237"/>
      <c r="CY80" s="41"/>
      <c r="CZ80" s="41"/>
      <c r="DA80" s="39"/>
      <c r="DB80" s="41"/>
      <c r="DC80" s="41"/>
      <c r="DD80" s="224"/>
      <c r="DE80" s="39"/>
      <c r="DF80" s="39"/>
      <c r="DG80" s="39"/>
      <c r="DH80" s="39"/>
      <c r="DI80" s="39"/>
      <c r="DJ80" s="243"/>
      <c r="DK80" s="39"/>
      <c r="DL80" s="39"/>
      <c r="DM80" s="39"/>
      <c r="DN80" s="39"/>
      <c r="DO80" s="39"/>
      <c r="DP80" s="243"/>
      <c r="DQ80" s="39">
        <f>DK80+Commerical!I80</f>
        <v>2035998349.7833426</v>
      </c>
      <c r="DR80" s="213">
        <f>DL80+Commerical!J80</f>
        <v>1410728372.3440058</v>
      </c>
      <c r="DS80" s="39">
        <f>DM80+Commerical!K80</f>
        <v>1351782992.561795</v>
      </c>
      <c r="DT80" s="39">
        <f>DN80+Commerical!L80</f>
        <v>1648723503.1888676</v>
      </c>
      <c r="DU80" s="39">
        <f>DO80+Commerical!M80</f>
        <v>2221291992.5318832</v>
      </c>
      <c r="DV80" s="243">
        <f>DP80+Commerical!N80</f>
        <v>2463376075.6466813</v>
      </c>
      <c r="DW80" s="520"/>
      <c r="DX80" s="39"/>
      <c r="DY80" s="38"/>
      <c r="DZ80" s="38"/>
      <c r="EA80" s="546"/>
      <c r="EB80" s="38"/>
      <c r="EC80" s="38"/>
      <c r="ED80" s="38"/>
    </row>
    <row r="81" spans="1:134" ht="12.75">
      <c r="A81" s="88" t="s">
        <v>633</v>
      </c>
      <c r="B81" s="29">
        <f>SUM(Commerical!C79:H80)*1000/SUM(Commerical!I79:N80)</f>
        <v>1.3876611846128617</v>
      </c>
      <c r="C81" s="41">
        <v>647</v>
      </c>
      <c r="D81" s="41">
        <v>1350</v>
      </c>
      <c r="E81" s="397">
        <v>1373</v>
      </c>
      <c r="F81" s="397">
        <f>1245</f>
        <v>1245</v>
      </c>
      <c r="G81" s="495">
        <f>1608</f>
        <v>1608</v>
      </c>
      <c r="H81" s="401">
        <v>30582</v>
      </c>
      <c r="I81" s="205">
        <v>28829</v>
      </c>
      <c r="J81" s="401">
        <v>34016</v>
      </c>
      <c r="K81" s="401">
        <v>27921</v>
      </c>
      <c r="L81" s="495">
        <v>30240</v>
      </c>
      <c r="M81" s="401">
        <v>387</v>
      </c>
      <c r="N81" s="205">
        <v>1428</v>
      </c>
      <c r="O81" s="401">
        <v>1524</v>
      </c>
      <c r="P81" s="401">
        <v>1174</v>
      </c>
      <c r="Q81" s="397">
        <v>2591</v>
      </c>
      <c r="R81" s="271">
        <f>2009+18695+1151</f>
        <v>21855</v>
      </c>
      <c r="S81" s="205">
        <v>41456</v>
      </c>
      <c r="T81" s="205">
        <v>40053</v>
      </c>
      <c r="U81" s="205">
        <v>45077</v>
      </c>
      <c r="V81" s="397">
        <v>40635</v>
      </c>
      <c r="W81" s="397">
        <v>41056</v>
      </c>
      <c r="X81" s="216">
        <v>54964</v>
      </c>
      <c r="Y81" s="205"/>
      <c r="Z81" s="205"/>
      <c r="AA81" s="205"/>
      <c r="AB81" s="205"/>
      <c r="AC81" s="38"/>
      <c r="AD81" s="41"/>
      <c r="AE81" s="616"/>
      <c r="AF81" s="205"/>
      <c r="AG81" s="205"/>
      <c r="AH81" s="205"/>
      <c r="AI81" s="205"/>
      <c r="AJ81" s="216"/>
      <c r="AK81" s="205">
        <v>1103</v>
      </c>
      <c r="AL81" s="205">
        <v>1680</v>
      </c>
      <c r="AM81" s="401">
        <v>1047</v>
      </c>
      <c r="AN81" s="401">
        <v>2133</v>
      </c>
      <c r="AO81" s="401">
        <v>1939</v>
      </c>
      <c r="AP81" s="498">
        <v>2465</v>
      </c>
      <c r="AQ81" s="39"/>
      <c r="AR81" s="39"/>
      <c r="AS81" s="205"/>
      <c r="AT81" s="205"/>
      <c r="AU81" s="205"/>
      <c r="AV81" s="235"/>
      <c r="AW81" s="41">
        <f t="shared" si="74"/>
        <v>75077.45454545454</v>
      </c>
      <c r="AX81" s="41">
        <f t="shared" si="75"/>
        <v>74714.54545454546</v>
      </c>
      <c r="AY81" s="41">
        <f t="shared" si="76"/>
        <v>83893.63636363637</v>
      </c>
      <c r="AZ81" s="41">
        <f>(F81+K81+P81+V81+AB81+(AH81/0.212)+(AN81/0.55)+(AT81/0.635))</f>
        <v>74853.18181818182</v>
      </c>
      <c r="BA81" s="41">
        <f>(G81+L81+Q81+W81+AC81+(AI81/0.212)+(AO81/0.55)+(AU81/0.635))</f>
        <v>79020.45454545454</v>
      </c>
      <c r="BB81" s="237">
        <f>(R81+X81+AD81+(AJ81/0.212)+(AP81/0.55)+(AV81/0.635))</f>
        <v>81300.81818181818</v>
      </c>
      <c r="BC81" s="41">
        <f t="shared" si="79"/>
        <v>119278002.8129917</v>
      </c>
      <c r="BD81" s="41">
        <f>AX81*1000/0.45359237/$B81</f>
        <v>118701437.29371043</v>
      </c>
      <c r="BE81" s="41">
        <f>AY81*1000/0.45359237/$B81</f>
        <v>133284558.65689388</v>
      </c>
      <c r="BF81" s="41">
        <f>AZ81*1000/0.45359237/$B81</f>
        <v>118921693.41016933</v>
      </c>
      <c r="BG81" s="41">
        <f>BA81*1000/0.45359237/$B81</f>
        <v>125542375.6255633</v>
      </c>
      <c r="BH81" s="237">
        <f>BB81*1000/0.45359237/$B81</f>
        <v>129165263.77327144</v>
      </c>
      <c r="BI81" s="41">
        <v>40133</v>
      </c>
      <c r="BJ81" s="41">
        <v>18315</v>
      </c>
      <c r="BK81" s="41">
        <v>983</v>
      </c>
      <c r="BL81" s="401">
        <v>6742</v>
      </c>
      <c r="BM81" s="401">
        <v>8912</v>
      </c>
      <c r="BN81" s="216">
        <v>9707</v>
      </c>
      <c r="BO81" s="205">
        <v>113972</v>
      </c>
      <c r="BP81" s="205">
        <v>81605</v>
      </c>
      <c r="BQ81" s="205">
        <v>78684</v>
      </c>
      <c r="BR81" s="401">
        <v>88175</v>
      </c>
      <c r="BS81" s="401">
        <v>104651</v>
      </c>
      <c r="BT81" s="216">
        <v>87835</v>
      </c>
      <c r="BU81" s="205"/>
      <c r="BV81" s="205"/>
      <c r="BW81" s="205"/>
      <c r="BX81" s="205"/>
      <c r="BY81" s="205"/>
      <c r="BZ81" s="235"/>
      <c r="CA81" s="41"/>
      <c r="CB81" s="41"/>
      <c r="CC81" s="205"/>
      <c r="CD81" s="205"/>
      <c r="CE81" s="400"/>
      <c r="CF81" s="216"/>
      <c r="CG81" s="205"/>
      <c r="CH81" s="205"/>
      <c r="CI81" s="39"/>
      <c r="CJ81" s="286"/>
      <c r="CK81" s="286"/>
      <c r="CL81" s="498"/>
      <c r="CM81" s="39"/>
      <c r="CN81" s="39"/>
      <c r="CO81" s="39"/>
      <c r="CP81" s="205"/>
      <c r="CQ81" s="205"/>
      <c r="CR81" s="282"/>
      <c r="CS81" s="41">
        <f aca="true" t="shared" si="90" ref="CS81:CX81">(BI81+BO81+BU81+(CA81/0.212)+(CG81/0.55)+(CM81/0.635))</f>
        <v>154105</v>
      </c>
      <c r="CT81" s="41">
        <f t="shared" si="90"/>
        <v>99920</v>
      </c>
      <c r="CU81" s="41">
        <f t="shared" si="90"/>
        <v>79667</v>
      </c>
      <c r="CV81" s="41">
        <f t="shared" si="90"/>
        <v>94917</v>
      </c>
      <c r="CW81" s="41">
        <f t="shared" si="90"/>
        <v>113563</v>
      </c>
      <c r="CX81" s="237">
        <f t="shared" si="90"/>
        <v>97542</v>
      </c>
      <c r="CY81" s="41">
        <f aca="true" t="shared" si="91" ref="CY81:DD81">CS81*1000/0.45359237/$B81</f>
        <v>244831643.99729845</v>
      </c>
      <c r="CZ81" s="41">
        <f t="shared" si="91"/>
        <v>158746165.71954226</v>
      </c>
      <c r="DA81" s="41">
        <f t="shared" si="91"/>
        <v>126569563.4945834</v>
      </c>
      <c r="DB81" s="41">
        <f t="shared" si="91"/>
        <v>150797736.30506197</v>
      </c>
      <c r="DC81" s="41">
        <f t="shared" si="91"/>
        <v>180421245.17222157</v>
      </c>
      <c r="DD81" s="237">
        <f t="shared" si="91"/>
        <v>154968159.4937509</v>
      </c>
      <c r="DE81" s="39">
        <f t="shared" si="84"/>
        <v>-79027.54545454546</v>
      </c>
      <c r="DF81" s="39">
        <f aca="true" t="shared" si="92" ref="DF81:DP81">AX81-CT81</f>
        <v>-25205.454545454544</v>
      </c>
      <c r="DG81" s="39">
        <f t="shared" si="92"/>
        <v>4226.636363636368</v>
      </c>
      <c r="DH81" s="39">
        <f t="shared" si="92"/>
        <v>-20063.818181818177</v>
      </c>
      <c r="DI81" s="39">
        <f t="shared" si="92"/>
        <v>-34542.545454545456</v>
      </c>
      <c r="DJ81" s="243">
        <f t="shared" si="92"/>
        <v>-16241.181818181823</v>
      </c>
      <c r="DK81" s="39">
        <f t="shared" si="92"/>
        <v>-125553641.18430676</v>
      </c>
      <c r="DL81" s="39">
        <f t="shared" si="92"/>
        <v>-40044728.42583184</v>
      </c>
      <c r="DM81" s="39">
        <f t="shared" si="92"/>
        <v>6714995.162310481</v>
      </c>
      <c r="DN81" s="39">
        <f t="shared" si="92"/>
        <v>-31876042.894892633</v>
      </c>
      <c r="DO81" s="39">
        <f t="shared" si="92"/>
        <v>-54878869.54665828</v>
      </c>
      <c r="DP81" s="243">
        <f t="shared" si="92"/>
        <v>-25802895.72047946</v>
      </c>
      <c r="DQ81" s="39">
        <f>DK81+Commerical!I81</f>
        <v>-125553641.18430676</v>
      </c>
      <c r="DR81" s="39">
        <f>DL81+Commerical!J81</f>
        <v>-40044728.42583184</v>
      </c>
      <c r="DS81" s="39">
        <f>DM81+Commerical!K81</f>
        <v>6714995.162310481</v>
      </c>
      <c r="DT81" s="39">
        <f>DN81+Commerical!L81</f>
        <v>-31876042.894892633</v>
      </c>
      <c r="DU81" s="39">
        <f>DO81+Commerical!M81</f>
        <v>-54878869.54665828</v>
      </c>
      <c r="DV81" s="243">
        <f>DP81+Commerical!N81</f>
        <v>-25802895.72047946</v>
      </c>
      <c r="DW81" s="138"/>
      <c r="DX81" s="213"/>
      <c r="DY81" s="39"/>
      <c r="DZ81" s="38"/>
      <c r="EA81" s="547"/>
      <c r="EB81" s="39"/>
      <c r="EC81" s="38"/>
      <c r="ED81" s="38"/>
    </row>
    <row r="82" spans="1:134" ht="12.75">
      <c r="A82" s="88" t="s">
        <v>223</v>
      </c>
      <c r="B82" s="29">
        <f>Commerical!B82</f>
        <v>3.6524670579780003</v>
      </c>
      <c r="C82" s="41"/>
      <c r="E82" s="397"/>
      <c r="F82" s="397"/>
      <c r="G82" s="495"/>
      <c r="H82" s="401"/>
      <c r="I82" s="205"/>
      <c r="J82" s="205"/>
      <c r="K82" s="205"/>
      <c r="L82" s="216"/>
      <c r="M82" s="205"/>
      <c r="N82" s="205"/>
      <c r="O82" s="205"/>
      <c r="P82" s="205"/>
      <c r="Q82" s="205"/>
      <c r="R82" s="271"/>
      <c r="S82" s="205"/>
      <c r="T82" s="205"/>
      <c r="U82" s="205"/>
      <c r="V82" s="205"/>
      <c r="W82" s="205"/>
      <c r="X82" s="216"/>
      <c r="Y82" s="205"/>
      <c r="Z82" s="205"/>
      <c r="AA82" s="205"/>
      <c r="AB82" s="205"/>
      <c r="AC82" s="38"/>
      <c r="AD82" s="41"/>
      <c r="AE82" s="616"/>
      <c r="AF82" s="205"/>
      <c r="AG82" s="205"/>
      <c r="AH82" s="205"/>
      <c r="AI82" s="205"/>
      <c r="AJ82" s="216"/>
      <c r="AK82" s="205"/>
      <c r="AL82" s="205"/>
      <c r="AM82" s="41"/>
      <c r="AN82" s="41"/>
      <c r="AO82" s="41"/>
      <c r="AP82" s="498"/>
      <c r="AQ82" s="39"/>
      <c r="AR82" s="39"/>
      <c r="AS82" s="205"/>
      <c r="AT82" s="205"/>
      <c r="AU82" s="205"/>
      <c r="AV82" s="235"/>
      <c r="AW82" s="41"/>
      <c r="AX82" s="41"/>
      <c r="AY82" s="41"/>
      <c r="AZ82" s="41"/>
      <c r="BA82" s="41"/>
      <c r="BB82" s="237"/>
      <c r="BC82" s="41"/>
      <c r="BD82" s="41"/>
      <c r="BE82" s="210"/>
      <c r="BF82" s="41"/>
      <c r="BG82" s="41"/>
      <c r="BH82" s="224"/>
      <c r="BI82" s="210"/>
      <c r="BJ82" s="210"/>
      <c r="BK82" s="41"/>
      <c r="BL82" s="286"/>
      <c r="BM82" s="41"/>
      <c r="BN82" s="216"/>
      <c r="BO82" s="205"/>
      <c r="BP82" s="205"/>
      <c r="BQ82" s="205"/>
      <c r="BR82" s="205"/>
      <c r="BS82" s="205"/>
      <c r="BT82" s="216"/>
      <c r="BU82" s="205"/>
      <c r="BV82" s="205"/>
      <c r="BW82" s="205"/>
      <c r="BX82" s="205"/>
      <c r="BY82" s="205"/>
      <c r="BZ82" s="235"/>
      <c r="CA82" s="41"/>
      <c r="CB82" s="41"/>
      <c r="CC82" s="205"/>
      <c r="CD82" s="205"/>
      <c r="CE82" s="400"/>
      <c r="CF82" s="216"/>
      <c r="CG82" s="205"/>
      <c r="CH82" s="205"/>
      <c r="CI82" s="39"/>
      <c r="CJ82" s="286"/>
      <c r="CK82" s="286"/>
      <c r="CL82" s="498"/>
      <c r="CM82" s="39"/>
      <c r="CN82" s="39"/>
      <c r="CO82" s="39"/>
      <c r="CP82" s="205"/>
      <c r="CQ82" s="205"/>
      <c r="CR82" s="282"/>
      <c r="CS82" s="205"/>
      <c r="CT82" s="41"/>
      <c r="CU82" s="41"/>
      <c r="CV82" s="41"/>
      <c r="CW82" s="41"/>
      <c r="CX82" s="237"/>
      <c r="CY82" s="41"/>
      <c r="CZ82" s="41"/>
      <c r="DA82" s="39"/>
      <c r="DB82" s="41"/>
      <c r="DC82" s="41"/>
      <c r="DD82" s="224"/>
      <c r="DE82" s="39"/>
      <c r="DF82" s="39"/>
      <c r="DG82" s="39"/>
      <c r="DH82" s="39"/>
      <c r="DI82" s="39"/>
      <c r="DJ82" s="243"/>
      <c r="DK82" s="39"/>
      <c r="DL82" s="39"/>
      <c r="DM82" s="39"/>
      <c r="DN82" s="39"/>
      <c r="DO82" s="39"/>
      <c r="DP82" s="243"/>
      <c r="DQ82" s="39">
        <f>DK82+Commerical!I82</f>
        <v>0</v>
      </c>
      <c r="DR82" s="39">
        <f>DL82+Commerical!J82</f>
        <v>0</v>
      </c>
      <c r="DS82" s="39">
        <f>DM82+Commerical!K82</f>
        <v>0</v>
      </c>
      <c r="DT82" s="39">
        <f>DN82+Commerical!L82</f>
        <v>0</v>
      </c>
      <c r="DU82" s="39">
        <f>DO82+Commerical!M82</f>
        <v>0</v>
      </c>
      <c r="DV82" s="243">
        <f>DP82+Commerical!N82</f>
        <v>0</v>
      </c>
      <c r="DW82" s="39"/>
      <c r="DX82" s="39"/>
      <c r="DY82" s="38"/>
      <c r="DZ82" s="38"/>
      <c r="EA82" s="546"/>
      <c r="EB82" s="38"/>
      <c r="ED82" s="38"/>
    </row>
    <row r="83" spans="1:134" ht="13.5">
      <c r="A83" s="88" t="s">
        <v>224</v>
      </c>
      <c r="B83" s="29">
        <f>Commerical!B83</f>
        <v>2.97862262</v>
      </c>
      <c r="C83" s="41"/>
      <c r="E83" s="395"/>
      <c r="F83" s="395"/>
      <c r="G83" s="496"/>
      <c r="H83" s="407"/>
      <c r="I83" s="205"/>
      <c r="J83" s="205"/>
      <c r="K83" s="205"/>
      <c r="L83" s="618"/>
      <c r="M83" s="626"/>
      <c r="N83" s="205"/>
      <c r="O83" s="205"/>
      <c r="P83" s="205"/>
      <c r="Q83" s="205"/>
      <c r="R83" s="271"/>
      <c r="S83" s="205"/>
      <c r="T83" s="205"/>
      <c r="U83" s="205"/>
      <c r="V83" s="205"/>
      <c r="W83" s="205"/>
      <c r="X83" s="216"/>
      <c r="Y83" s="205"/>
      <c r="Z83" s="205"/>
      <c r="AA83" s="205"/>
      <c r="AB83" s="205"/>
      <c r="AC83" s="38"/>
      <c r="AD83" s="41"/>
      <c r="AE83" s="616"/>
      <c r="AF83" s="205"/>
      <c r="AG83" s="205"/>
      <c r="AH83" s="205"/>
      <c r="AI83" s="205"/>
      <c r="AJ83" s="216"/>
      <c r="AK83" s="205"/>
      <c r="AL83" s="205"/>
      <c r="AM83" s="41"/>
      <c r="AN83" s="41"/>
      <c r="AO83" s="41"/>
      <c r="AP83" s="498"/>
      <c r="AQ83" s="39"/>
      <c r="AR83" s="39"/>
      <c r="AS83" s="205"/>
      <c r="AT83" s="205"/>
      <c r="AU83" s="205"/>
      <c r="AV83" s="235"/>
      <c r="AW83" s="41"/>
      <c r="AX83" s="41"/>
      <c r="AY83" s="41"/>
      <c r="AZ83" s="41"/>
      <c r="BA83" s="41"/>
      <c r="BB83" s="237"/>
      <c r="BC83" s="41"/>
      <c r="BD83" s="41"/>
      <c r="BE83" s="210"/>
      <c r="BF83" s="41"/>
      <c r="BG83" s="41"/>
      <c r="BH83" s="224"/>
      <c r="BI83" s="210"/>
      <c r="BJ83" s="210"/>
      <c r="BK83" s="41"/>
      <c r="BL83" s="286"/>
      <c r="BM83" s="41"/>
      <c r="BN83" s="216"/>
      <c r="BO83" s="205"/>
      <c r="BP83" s="205"/>
      <c r="BQ83" s="205"/>
      <c r="BR83" s="205"/>
      <c r="BS83" s="205"/>
      <c r="BT83" s="216"/>
      <c r="BU83" s="205"/>
      <c r="BV83" s="205"/>
      <c r="BW83" s="205"/>
      <c r="BX83" s="205"/>
      <c r="BY83" s="205"/>
      <c r="BZ83" s="235"/>
      <c r="CA83" s="41"/>
      <c r="CB83" s="41"/>
      <c r="CC83" s="205"/>
      <c r="CD83" s="205"/>
      <c r="CE83" s="400"/>
      <c r="CF83" s="216"/>
      <c r="CG83" s="205"/>
      <c r="CH83" s="205"/>
      <c r="CI83" s="39"/>
      <c r="CJ83" s="286"/>
      <c r="CK83" s="286"/>
      <c r="CL83" s="498"/>
      <c r="CM83" s="39"/>
      <c r="CN83" s="39"/>
      <c r="CO83" s="39"/>
      <c r="CP83" s="205"/>
      <c r="CQ83" s="205"/>
      <c r="CR83" s="282"/>
      <c r="CS83" s="205"/>
      <c r="CT83" s="41"/>
      <c r="CU83" s="41"/>
      <c r="CV83" s="41"/>
      <c r="CW83" s="41"/>
      <c r="CX83" s="237"/>
      <c r="CY83" s="41"/>
      <c r="CZ83" s="41"/>
      <c r="DA83" s="39"/>
      <c r="DB83" s="41"/>
      <c r="DC83" s="41"/>
      <c r="DD83" s="224"/>
      <c r="DE83" s="39"/>
      <c r="DF83" s="39"/>
      <c r="DG83" s="39"/>
      <c r="DH83" s="39"/>
      <c r="DI83" s="39"/>
      <c r="DJ83" s="243"/>
      <c r="DK83" s="39"/>
      <c r="DL83" s="39"/>
      <c r="DM83" s="39"/>
      <c r="DN83" s="39"/>
      <c r="DO83" s="39"/>
      <c r="DP83" s="243"/>
      <c r="DQ83" s="39">
        <f>DK83+Commerical!I83</f>
        <v>0</v>
      </c>
      <c r="DR83" s="39">
        <f>DL83+Commerical!J83</f>
        <v>0</v>
      </c>
      <c r="DS83" s="39">
        <f>DM83+Commerical!K83</f>
        <v>0</v>
      </c>
      <c r="DT83" s="39">
        <f>DN83+Commerical!L83</f>
        <v>0</v>
      </c>
      <c r="DU83" s="39">
        <f>DO83+Commerical!M83</f>
        <v>0</v>
      </c>
      <c r="DV83" s="243">
        <f>DP83+Commerical!N83</f>
        <v>0</v>
      </c>
      <c r="DW83" s="39"/>
      <c r="DX83" s="39"/>
      <c r="DY83" s="38"/>
      <c r="DZ83" s="38"/>
      <c r="EA83" s="546"/>
      <c r="EB83" s="38"/>
      <c r="ED83" s="38"/>
    </row>
    <row r="84" spans="1:134" ht="12.75">
      <c r="A84" s="88" t="s">
        <v>225</v>
      </c>
      <c r="B84" s="29">
        <f>Commerical!B84</f>
        <v>3.9609102990159997</v>
      </c>
      <c r="C84" s="41"/>
      <c r="G84" s="618"/>
      <c r="I84" s="205"/>
      <c r="J84" s="205"/>
      <c r="K84" s="205"/>
      <c r="L84" s="618"/>
      <c r="M84" s="626"/>
      <c r="N84" s="205"/>
      <c r="O84" s="205"/>
      <c r="P84" s="205"/>
      <c r="R84" s="271"/>
      <c r="S84" s="205"/>
      <c r="V84" s="205"/>
      <c r="W84" s="205"/>
      <c r="X84" s="216"/>
      <c r="Y84" s="205"/>
      <c r="Z84" s="205"/>
      <c r="AA84" s="205"/>
      <c r="AB84" s="205"/>
      <c r="AC84" s="38"/>
      <c r="AD84" s="41"/>
      <c r="AE84" s="616"/>
      <c r="AF84" s="205"/>
      <c r="AG84" s="205"/>
      <c r="AH84" s="205"/>
      <c r="AI84" s="205"/>
      <c r="AJ84" s="216"/>
      <c r="AK84" s="205"/>
      <c r="AL84" s="205"/>
      <c r="AM84" s="41"/>
      <c r="AN84" s="41"/>
      <c r="AO84" s="41"/>
      <c r="AP84" s="498"/>
      <c r="AQ84" s="39"/>
      <c r="AR84" s="39"/>
      <c r="AS84" s="205"/>
      <c r="AT84" s="205"/>
      <c r="AU84" s="205"/>
      <c r="AV84" s="235"/>
      <c r="AW84" s="41"/>
      <c r="AX84" s="41"/>
      <c r="AY84" s="41"/>
      <c r="AZ84" s="41"/>
      <c r="BA84" s="41"/>
      <c r="BB84" s="237"/>
      <c r="BC84" s="41"/>
      <c r="BD84" s="41"/>
      <c r="BE84" s="210"/>
      <c r="BF84" s="41"/>
      <c r="BG84" s="41"/>
      <c r="BH84" s="224"/>
      <c r="BI84" s="210"/>
      <c r="BJ84" s="210"/>
      <c r="BK84" s="41"/>
      <c r="BL84" s="286"/>
      <c r="BM84" s="41"/>
      <c r="BN84" s="216"/>
      <c r="BO84" s="205"/>
      <c r="BP84" s="205"/>
      <c r="BQ84" s="205"/>
      <c r="BR84" s="205"/>
      <c r="BS84" s="205"/>
      <c r="BT84" s="216"/>
      <c r="BU84" s="205"/>
      <c r="BV84" s="205"/>
      <c r="BW84" s="205"/>
      <c r="BX84" s="205"/>
      <c r="BY84" s="205"/>
      <c r="BZ84" s="235"/>
      <c r="CA84" s="41"/>
      <c r="CB84" s="41"/>
      <c r="CC84" s="205"/>
      <c r="CD84" s="205"/>
      <c r="CE84" s="400"/>
      <c r="CF84" s="216"/>
      <c r="CG84" s="205"/>
      <c r="CH84" s="205"/>
      <c r="CI84" s="39"/>
      <c r="CJ84" s="286"/>
      <c r="CK84" s="286"/>
      <c r="CL84" s="498"/>
      <c r="CM84" s="39"/>
      <c r="CN84" s="39"/>
      <c r="CO84" s="39"/>
      <c r="CP84" s="205"/>
      <c r="CQ84" s="205"/>
      <c r="CR84" s="282"/>
      <c r="CS84" s="205"/>
      <c r="CT84" s="41"/>
      <c r="CU84" s="41"/>
      <c r="CV84" s="41"/>
      <c r="CW84" s="41"/>
      <c r="CX84" s="237"/>
      <c r="CY84" s="41"/>
      <c r="CZ84" s="41"/>
      <c r="DA84" s="39"/>
      <c r="DB84" s="41"/>
      <c r="DC84" s="41"/>
      <c r="DD84" s="224"/>
      <c r="DE84" s="39"/>
      <c r="DF84" s="39"/>
      <c r="DG84" s="39"/>
      <c r="DH84" s="39"/>
      <c r="DI84" s="39"/>
      <c r="DJ84" s="243"/>
      <c r="DK84" s="39"/>
      <c r="DL84" s="39"/>
      <c r="DM84" s="39"/>
      <c r="DN84" s="39"/>
      <c r="DO84" s="39"/>
      <c r="DP84" s="243"/>
      <c r="DQ84" s="39">
        <f>DK84+Commerical!I84</f>
        <v>0</v>
      </c>
      <c r="DR84" s="39">
        <f>DL84+Commerical!J84</f>
        <v>0</v>
      </c>
      <c r="DS84" s="39">
        <f>DM84+Commerical!K84</f>
        <v>0</v>
      </c>
      <c r="DT84" s="39">
        <f>DN84+Commerical!L84</f>
        <v>0</v>
      </c>
      <c r="DU84" s="39">
        <f>DO84+Commerical!M84</f>
        <v>0</v>
      </c>
      <c r="DV84" s="243">
        <f>DP84+Commerical!N84</f>
        <v>0</v>
      </c>
      <c r="DW84" s="39"/>
      <c r="DX84" s="39"/>
      <c r="DY84" s="38"/>
      <c r="DZ84" s="38"/>
      <c r="EA84" s="546"/>
      <c r="EB84" s="38"/>
      <c r="ED84" s="38"/>
    </row>
    <row r="85" spans="1:134" ht="13.5">
      <c r="A85" s="88" t="s">
        <v>226</v>
      </c>
      <c r="B85" s="29">
        <f>Commerical!B85</f>
        <v>3.81514305467</v>
      </c>
      <c r="C85" s="41"/>
      <c r="G85" s="618"/>
      <c r="I85" s="205"/>
      <c r="J85" s="205"/>
      <c r="K85" s="205"/>
      <c r="L85" s="618"/>
      <c r="M85" s="626"/>
      <c r="N85" s="205"/>
      <c r="O85" s="205"/>
      <c r="P85" s="205"/>
      <c r="R85" s="271"/>
      <c r="S85" s="205"/>
      <c r="V85" s="205"/>
      <c r="W85" s="205"/>
      <c r="X85" s="216"/>
      <c r="Y85" s="205"/>
      <c r="Z85" s="205"/>
      <c r="AA85" s="205"/>
      <c r="AD85" s="41"/>
      <c r="AE85" s="616"/>
      <c r="AF85" s="205"/>
      <c r="AG85" s="205"/>
      <c r="AH85" s="205"/>
      <c r="AI85" s="205"/>
      <c r="AJ85" s="216"/>
      <c r="AK85" s="205"/>
      <c r="AL85" s="205"/>
      <c r="AM85" s="41"/>
      <c r="AN85" s="41"/>
      <c r="AO85" s="41"/>
      <c r="AP85" s="498"/>
      <c r="AQ85" s="39"/>
      <c r="AR85" s="39"/>
      <c r="AS85" s="205"/>
      <c r="AT85" s="205"/>
      <c r="AU85" s="205"/>
      <c r="AV85" s="235"/>
      <c r="AW85" s="41"/>
      <c r="AX85" s="41"/>
      <c r="AY85" s="41"/>
      <c r="AZ85" s="41"/>
      <c r="BA85" s="41"/>
      <c r="BB85" s="237"/>
      <c r="BC85" s="41"/>
      <c r="BD85" s="41"/>
      <c r="BE85" s="210"/>
      <c r="BF85" s="41"/>
      <c r="BG85" s="41"/>
      <c r="BH85" s="224"/>
      <c r="BI85" s="210"/>
      <c r="BJ85" s="210"/>
      <c r="BK85" s="41"/>
      <c r="BL85" s="286"/>
      <c r="BM85" s="41"/>
      <c r="BN85" s="216"/>
      <c r="BO85" s="205"/>
      <c r="BP85" s="205"/>
      <c r="BQ85" s="205"/>
      <c r="BR85" s="205"/>
      <c r="BS85" s="205"/>
      <c r="BT85" s="216"/>
      <c r="BU85" s="205"/>
      <c r="BV85" s="205"/>
      <c r="BW85" s="205"/>
      <c r="BX85" s="205"/>
      <c r="BY85" s="205"/>
      <c r="BZ85" s="235"/>
      <c r="CA85" s="41"/>
      <c r="CB85" s="41"/>
      <c r="CC85" s="205"/>
      <c r="CD85" s="205"/>
      <c r="CE85" s="515"/>
      <c r="CF85" s="216"/>
      <c r="CG85" s="205"/>
      <c r="CH85" s="205"/>
      <c r="CI85" s="39"/>
      <c r="CJ85" s="407"/>
      <c r="CK85" s="407"/>
      <c r="CL85" s="498"/>
      <c r="CM85" s="39"/>
      <c r="CN85" s="39"/>
      <c r="CO85" s="39"/>
      <c r="CP85" s="205"/>
      <c r="CQ85" s="205"/>
      <c r="CR85" s="282"/>
      <c r="CS85" s="205"/>
      <c r="CT85" s="41"/>
      <c r="CU85" s="41"/>
      <c r="CV85" s="41"/>
      <c r="CW85" s="41"/>
      <c r="CX85" s="237"/>
      <c r="CY85" s="41"/>
      <c r="CZ85" s="41"/>
      <c r="DA85" s="39"/>
      <c r="DB85" s="41"/>
      <c r="DC85" s="41"/>
      <c r="DD85" s="224"/>
      <c r="DE85" s="39"/>
      <c r="DF85" s="39"/>
      <c r="DG85" s="39"/>
      <c r="DH85" s="39"/>
      <c r="DI85" s="39"/>
      <c r="DJ85" s="243"/>
      <c r="DK85" s="39"/>
      <c r="DL85" s="39"/>
      <c r="DM85" s="39"/>
      <c r="DN85" s="39"/>
      <c r="DO85" s="39"/>
      <c r="DP85" s="243"/>
      <c r="DQ85" s="39">
        <f>DK85+Commerical!I85</f>
        <v>0</v>
      </c>
      <c r="DR85" s="39">
        <f>DL85+Commerical!J85</f>
        <v>0</v>
      </c>
      <c r="DS85" s="39">
        <f>DM85+Commerical!K85</f>
        <v>0</v>
      </c>
      <c r="DT85" s="39">
        <f>DN85+Commerical!L85</f>
        <v>0</v>
      </c>
      <c r="DU85" s="39">
        <f>DO85+Commerical!M85</f>
        <v>0</v>
      </c>
      <c r="DV85" s="243">
        <f>DP85+Commerical!N85</f>
        <v>0</v>
      </c>
      <c r="DW85" s="39"/>
      <c r="DX85" s="39"/>
      <c r="DY85" s="38"/>
      <c r="DZ85" s="38"/>
      <c r="EA85" s="546"/>
      <c r="EB85" s="38"/>
      <c r="ED85" s="38"/>
    </row>
    <row r="86" spans="1:134" ht="13.5">
      <c r="A86" s="88" t="s">
        <v>227</v>
      </c>
      <c r="B86" s="29">
        <f>Commerical!B86</f>
        <v>1.281</v>
      </c>
      <c r="C86" s="41"/>
      <c r="G86" s="618"/>
      <c r="I86" s="205"/>
      <c r="J86" s="205"/>
      <c r="K86" s="205"/>
      <c r="L86" s="618"/>
      <c r="M86" s="626"/>
      <c r="N86" s="205"/>
      <c r="O86" s="205"/>
      <c r="P86" s="205"/>
      <c r="Q86" s="402"/>
      <c r="R86" s="271"/>
      <c r="S86" s="205"/>
      <c r="V86" s="205"/>
      <c r="W86" s="205"/>
      <c r="X86" s="216"/>
      <c r="Y86" s="205"/>
      <c r="Z86" s="205"/>
      <c r="AA86" s="205"/>
      <c r="AB86" s="398"/>
      <c r="AC86" s="398"/>
      <c r="AD86" s="41"/>
      <c r="AE86" s="616"/>
      <c r="AF86" s="205"/>
      <c r="AG86" s="205"/>
      <c r="AH86" s="205"/>
      <c r="AI86" s="205"/>
      <c r="AJ86" s="216"/>
      <c r="AK86" s="205"/>
      <c r="AL86" s="205"/>
      <c r="AM86" s="41"/>
      <c r="AN86" s="41"/>
      <c r="AO86" s="41"/>
      <c r="AP86" s="498"/>
      <c r="AQ86" s="39"/>
      <c r="AR86" s="39"/>
      <c r="AS86" s="205"/>
      <c r="AT86" s="205"/>
      <c r="AU86" s="205"/>
      <c r="AV86" s="235"/>
      <c r="AW86" s="41"/>
      <c r="AX86" s="41"/>
      <c r="AY86" s="41"/>
      <c r="AZ86" s="41"/>
      <c r="BA86" s="41"/>
      <c r="BB86" s="237"/>
      <c r="BC86" s="41"/>
      <c r="BD86" s="41"/>
      <c r="BE86" s="210"/>
      <c r="BF86" s="41"/>
      <c r="BG86" s="41"/>
      <c r="BH86" s="224"/>
      <c r="BI86" s="210"/>
      <c r="BJ86" s="210"/>
      <c r="BK86" s="41"/>
      <c r="BL86" s="286"/>
      <c r="BM86" s="41"/>
      <c r="BN86" s="216"/>
      <c r="BO86" s="205"/>
      <c r="BP86" s="205"/>
      <c r="BQ86" s="205"/>
      <c r="BR86" s="205"/>
      <c r="BS86" s="205"/>
      <c r="BT86" s="216"/>
      <c r="BU86" s="205"/>
      <c r="BV86" s="205"/>
      <c r="BW86" s="205"/>
      <c r="BX86" s="205"/>
      <c r="BY86" s="205"/>
      <c r="BZ86" s="235"/>
      <c r="CA86" s="41"/>
      <c r="CB86" s="41"/>
      <c r="CC86" s="205"/>
      <c r="CD86" s="205"/>
      <c r="CE86" s="400"/>
      <c r="CF86" s="216"/>
      <c r="CG86" s="205"/>
      <c r="CH86" s="205"/>
      <c r="CI86" s="39"/>
      <c r="CJ86" s="286"/>
      <c r="CK86" s="286"/>
      <c r="CL86" s="498"/>
      <c r="CM86" s="39"/>
      <c r="CN86" s="39"/>
      <c r="CO86" s="39"/>
      <c r="CP86" s="205"/>
      <c r="CQ86" s="205"/>
      <c r="CR86" s="282"/>
      <c r="CS86" s="205"/>
      <c r="CT86" s="41"/>
      <c r="CU86" s="41"/>
      <c r="CV86" s="41"/>
      <c r="CW86" s="41"/>
      <c r="CX86" s="237"/>
      <c r="CY86" s="41"/>
      <c r="CZ86" s="41"/>
      <c r="DA86" s="39"/>
      <c r="DB86" s="41"/>
      <c r="DC86" s="41"/>
      <c r="DD86" s="224"/>
      <c r="DE86" s="39"/>
      <c r="DF86" s="39"/>
      <c r="DG86" s="39"/>
      <c r="DH86" s="39"/>
      <c r="DI86" s="39"/>
      <c r="DJ86" s="243"/>
      <c r="DK86" s="39"/>
      <c r="DL86" s="39"/>
      <c r="DM86" s="39"/>
      <c r="DN86" s="39"/>
      <c r="DO86" s="39"/>
      <c r="DP86" s="243"/>
      <c r="DQ86" s="39">
        <f>DK86+Commerical!I86</f>
        <v>0</v>
      </c>
      <c r="DR86" s="39">
        <f>DL86+Commerical!J86</f>
        <v>0</v>
      </c>
      <c r="DS86" s="39">
        <f>DM86+Commerical!K86</f>
        <v>0</v>
      </c>
      <c r="DT86" s="39">
        <f>DN86+Commerical!L86</f>
        <v>0</v>
      </c>
      <c r="DU86" s="39">
        <f>DO86+Commerical!M86</f>
        <v>0</v>
      </c>
      <c r="DV86" s="243">
        <f>DP86+Commerical!N86</f>
        <v>0</v>
      </c>
      <c r="DW86" s="39"/>
      <c r="DX86" s="39"/>
      <c r="DY86" s="38"/>
      <c r="DZ86" s="38"/>
      <c r="EA86" s="546"/>
      <c r="EB86" s="38"/>
      <c r="ED86" s="38"/>
    </row>
    <row r="87" spans="1:134" ht="12.75">
      <c r="A87" s="88" t="s">
        <v>228</v>
      </c>
      <c r="B87" s="29">
        <f>Commerical!B87</f>
        <v>1.217</v>
      </c>
      <c r="C87" s="41"/>
      <c r="G87" s="618"/>
      <c r="I87" s="205"/>
      <c r="J87" s="205"/>
      <c r="K87" s="205"/>
      <c r="L87" s="618"/>
      <c r="M87" s="626"/>
      <c r="N87" s="205"/>
      <c r="O87" s="205"/>
      <c r="P87" s="205"/>
      <c r="R87" s="271"/>
      <c r="S87" s="205"/>
      <c r="V87" s="205"/>
      <c r="W87" s="205"/>
      <c r="X87" s="216"/>
      <c r="Y87" s="205"/>
      <c r="Z87" s="205"/>
      <c r="AA87" s="205"/>
      <c r="AD87" s="41"/>
      <c r="AE87" s="616"/>
      <c r="AF87" s="205"/>
      <c r="AG87" s="205"/>
      <c r="AH87" s="205"/>
      <c r="AI87" s="205"/>
      <c r="AJ87" s="216"/>
      <c r="AK87" s="205"/>
      <c r="AL87" s="205"/>
      <c r="AM87" s="41"/>
      <c r="AN87" s="41"/>
      <c r="AO87" s="41"/>
      <c r="AP87" s="498"/>
      <c r="AQ87" s="39"/>
      <c r="AR87" s="39"/>
      <c r="AS87" s="205"/>
      <c r="AT87" s="205"/>
      <c r="AU87" s="205"/>
      <c r="AV87" s="235"/>
      <c r="AW87" s="41"/>
      <c r="AX87" s="41"/>
      <c r="AY87" s="41"/>
      <c r="AZ87" s="41"/>
      <c r="BA87" s="41"/>
      <c r="BB87" s="237"/>
      <c r="BC87" s="41"/>
      <c r="BD87" s="41"/>
      <c r="BE87" s="210"/>
      <c r="BF87" s="41"/>
      <c r="BG87" s="41"/>
      <c r="BH87" s="224"/>
      <c r="BI87" s="210"/>
      <c r="BJ87" s="210"/>
      <c r="BK87" s="41"/>
      <c r="BL87" s="286"/>
      <c r="BM87" s="41"/>
      <c r="BN87" s="216"/>
      <c r="BO87" s="205"/>
      <c r="BP87" s="205"/>
      <c r="BQ87" s="205"/>
      <c r="BR87" s="205"/>
      <c r="BS87" s="205"/>
      <c r="BT87" s="216"/>
      <c r="BU87" s="205"/>
      <c r="BV87" s="205"/>
      <c r="BW87" s="205"/>
      <c r="BX87" s="205"/>
      <c r="BY87" s="205"/>
      <c r="BZ87" s="235"/>
      <c r="CA87" s="41"/>
      <c r="CB87" s="41"/>
      <c r="CC87" s="205"/>
      <c r="CD87" s="205"/>
      <c r="CE87" s="400"/>
      <c r="CF87" s="216"/>
      <c r="CG87" s="205"/>
      <c r="CH87" s="205"/>
      <c r="CI87" s="39"/>
      <c r="CJ87" s="286"/>
      <c r="CK87" s="286"/>
      <c r="CL87" s="498"/>
      <c r="CM87" s="39"/>
      <c r="CN87" s="39"/>
      <c r="CO87" s="39"/>
      <c r="CP87" s="205"/>
      <c r="CQ87" s="205"/>
      <c r="CR87" s="282"/>
      <c r="CS87" s="205"/>
      <c r="CT87" s="41"/>
      <c r="CU87" s="41"/>
      <c r="CV87" s="41"/>
      <c r="CW87" s="41"/>
      <c r="CX87" s="237"/>
      <c r="CY87" s="41"/>
      <c r="CZ87" s="41"/>
      <c r="DA87" s="39"/>
      <c r="DB87" s="41"/>
      <c r="DC87" s="41"/>
      <c r="DD87" s="224"/>
      <c r="DE87" s="39"/>
      <c r="DF87" s="39"/>
      <c r="DG87" s="39"/>
      <c r="DH87" s="39"/>
      <c r="DI87" s="39"/>
      <c r="DJ87" s="243"/>
      <c r="DK87" s="39"/>
      <c r="DL87" s="39"/>
      <c r="DM87" s="39"/>
      <c r="DN87" s="39"/>
      <c r="DO87" s="39"/>
      <c r="DP87" s="243"/>
      <c r="DQ87" s="39">
        <f>DK87+Commerical!I87</f>
        <v>0</v>
      </c>
      <c r="DR87" s="39">
        <f>DL87+Commerical!J87</f>
        <v>0</v>
      </c>
      <c r="DS87" s="39">
        <f>DM87+Commerical!K87</f>
        <v>0</v>
      </c>
      <c r="DT87" s="39">
        <f>DN87+Commerical!L87</f>
        <v>0</v>
      </c>
      <c r="DU87" s="39">
        <f>DO87+Commerical!M87</f>
        <v>0</v>
      </c>
      <c r="DV87" s="243">
        <f>DP87+Commerical!N87</f>
        <v>24576828.26622843</v>
      </c>
      <c r="DW87" s="39"/>
      <c r="DX87" s="39"/>
      <c r="DY87" s="38"/>
      <c r="DZ87" s="38"/>
      <c r="EA87" s="546"/>
      <c r="EB87" s="38"/>
      <c r="ED87" s="38"/>
    </row>
    <row r="88" spans="1:134" ht="12.75">
      <c r="A88" s="88" t="s">
        <v>229</v>
      </c>
      <c r="B88" s="29">
        <f>Commerical!B88</f>
        <v>16.90924524</v>
      </c>
      <c r="C88" s="41">
        <v>833</v>
      </c>
      <c r="D88" s="41">
        <v>410</v>
      </c>
      <c r="E88" s="398">
        <v>124</v>
      </c>
      <c r="F88" s="398">
        <v>199</v>
      </c>
      <c r="G88" s="494">
        <v>264</v>
      </c>
      <c r="H88" s="401"/>
      <c r="I88" s="205"/>
      <c r="J88" s="205"/>
      <c r="K88" s="205"/>
      <c r="L88" s="618"/>
      <c r="M88" s="626"/>
      <c r="N88" s="205"/>
      <c r="O88" s="205"/>
      <c r="P88" s="205"/>
      <c r="R88" s="271">
        <v>291</v>
      </c>
      <c r="S88" s="205"/>
      <c r="V88" s="205"/>
      <c r="W88" s="205"/>
      <c r="X88" s="216"/>
      <c r="Y88" s="205"/>
      <c r="Z88" s="205"/>
      <c r="AA88" s="205"/>
      <c r="AD88" s="41"/>
      <c r="AE88" s="616"/>
      <c r="AF88" s="205"/>
      <c r="AG88" s="205"/>
      <c r="AH88" s="205"/>
      <c r="AI88" s="205"/>
      <c r="AJ88" s="216"/>
      <c r="AK88" s="205"/>
      <c r="AL88" s="205"/>
      <c r="AM88" s="41"/>
      <c r="AN88" s="41"/>
      <c r="AO88" s="41"/>
      <c r="AP88" s="498"/>
      <c r="AQ88" s="39"/>
      <c r="AR88" s="39"/>
      <c r="AS88" s="205"/>
      <c r="AT88" s="205"/>
      <c r="AU88" s="205"/>
      <c r="AV88" s="235"/>
      <c r="AW88" s="41">
        <f aca="true" t="shared" si="93" ref="AW88:AW96">(C88+H88+M88+S88+Y88+(AE88/0.212)+(AK88/0.55)+(AQ88/0.635))</f>
        <v>833</v>
      </c>
      <c r="AX88" s="41">
        <f t="shared" si="75"/>
        <v>410</v>
      </c>
      <c r="AY88" s="41">
        <f t="shared" si="76"/>
        <v>124</v>
      </c>
      <c r="AZ88" s="41">
        <f aca="true" t="shared" si="94" ref="AZ88:AZ96">(F88+K88+P88+V88+AB88+(AH88/0.212)+(AN88/0.55)+(AT88/0.635))</f>
        <v>199</v>
      </c>
      <c r="BA88" s="41">
        <f aca="true" t="shared" si="95" ref="BA88:BA96">(G88+L88+Q88+W88+AC88+(AI88/0.212)+(AO88/0.55)+(AU88/0.635))</f>
        <v>264</v>
      </c>
      <c r="BB88" s="237">
        <f aca="true" t="shared" si="96" ref="BB88:BB96">(R88+X88+AD88+(AJ88/0.212)+(AP88/0.55)+(AV88/0.635))</f>
        <v>291</v>
      </c>
      <c r="BC88" s="41">
        <f aca="true" t="shared" si="97" ref="BC88:BC96">AW88*1000/0.45359237/$B88</f>
        <v>108606.30489028439</v>
      </c>
      <c r="BD88" s="41">
        <f aca="true" t="shared" si="98" ref="BD88:BD96">AX88*1000/0.45359237/$B88</f>
        <v>53455.68427973182</v>
      </c>
      <c r="BE88" s="41">
        <f aca="true" t="shared" si="99" ref="BE88:BE96">AY88*1000/0.45359237/$B88</f>
        <v>16167.085001674986</v>
      </c>
      <c r="BF88" s="41">
        <f aca="true" t="shared" si="100" ref="BF88:BF96">AZ88*1000/0.45359237/$B88</f>
        <v>25945.563833333246</v>
      </c>
      <c r="BG88" s="41">
        <f aca="true" t="shared" si="101" ref="BG88:BG96">BA88*1000/0.45359237/$B88</f>
        <v>34420.245487437074</v>
      </c>
      <c r="BH88" s="237">
        <f aca="true" t="shared" si="102" ref="BH88:BH96">BB88*1000/0.45359237/$B88</f>
        <v>37940.49786683404</v>
      </c>
      <c r="BI88" s="41">
        <v>13029</v>
      </c>
      <c r="BJ88" s="41">
        <v>9108</v>
      </c>
      <c r="BK88" s="41">
        <v>9734</v>
      </c>
      <c r="BL88" s="401">
        <v>8598</v>
      </c>
      <c r="BM88" s="401">
        <v>7681</v>
      </c>
      <c r="BN88" s="216">
        <v>10237</v>
      </c>
      <c r="BO88" s="205"/>
      <c r="BP88" s="205"/>
      <c r="BQ88" s="205"/>
      <c r="BR88" s="205"/>
      <c r="BS88" s="205"/>
      <c r="BT88" s="216"/>
      <c r="BU88" s="205"/>
      <c r="BV88" s="205"/>
      <c r="BW88" s="205"/>
      <c r="BX88" s="205"/>
      <c r="BY88" s="205"/>
      <c r="BZ88" s="235"/>
      <c r="CA88" s="41"/>
      <c r="CB88" s="41"/>
      <c r="CC88" s="205"/>
      <c r="CD88" s="205"/>
      <c r="CE88" s="400"/>
      <c r="CF88" s="216"/>
      <c r="CG88" s="205"/>
      <c r="CH88" s="205"/>
      <c r="CI88" s="39"/>
      <c r="CJ88" s="286"/>
      <c r="CK88" s="286"/>
      <c r="CL88" s="498"/>
      <c r="CM88" s="39"/>
      <c r="CN88" s="39"/>
      <c r="CO88" s="39"/>
      <c r="CP88" s="205"/>
      <c r="CQ88" s="205"/>
      <c r="CR88" s="282"/>
      <c r="CS88" s="41">
        <f aca="true" t="shared" si="103" ref="CS88:CS96">(BI88+BO88+BU88+(CA88/0.212)+(CG88/0.55)+(CM88/0.635))</f>
        <v>13029</v>
      </c>
      <c r="CT88" s="41">
        <f aca="true" t="shared" si="104" ref="CT88:CT96">(BJ88+BP88+BV88+(CB88/0.212)+(CH88/0.55)+(CN88/0.635))</f>
        <v>9108</v>
      </c>
      <c r="CU88" s="41">
        <f aca="true" t="shared" si="105" ref="CU88:CU96">(BK88+BQ88+BW88+(CC88/0.212)+(CI88/0.55)+(CO88/0.635))</f>
        <v>9734</v>
      </c>
      <c r="CV88" s="41">
        <f aca="true" t="shared" si="106" ref="CV88:CV96">(BL88+BR88+BX88+(CD88/0.212)+(CJ88/0.55)+(CP88/0.635))</f>
        <v>8598</v>
      </c>
      <c r="CW88" s="41">
        <f aca="true" t="shared" si="107" ref="CW88:CW96">(BM88+BS88+BY88+(CE88/0.212)+(CK88/0.55)+(CQ88/0.635))</f>
        <v>7681</v>
      </c>
      <c r="CX88" s="237">
        <f aca="true" t="shared" si="108" ref="CX88:CX96">(BN88+BT88+BZ88+(CF88/0.212)+(CL88/0.55)+(CR88/0.635))</f>
        <v>10237</v>
      </c>
      <c r="CY88" s="41">
        <f aca="true" t="shared" si="109" ref="CY88:CY96">CS88*1000/0.45359237/$B88</f>
        <v>1698717.3426356728</v>
      </c>
      <c r="CZ88" s="41">
        <f aca="true" t="shared" si="110" ref="CZ88:CZ96">CT88*1000/0.45359237/$B88</f>
        <v>1187498.469316579</v>
      </c>
      <c r="DA88" s="41">
        <f aca="true" t="shared" si="111" ref="DA88:DA96">CU88*1000/0.45359237/$B88</f>
        <v>1269116.1726314863</v>
      </c>
      <c r="DB88" s="41">
        <f aca="true" t="shared" si="112" ref="DB88:DB96">CV88*1000/0.45359237/$B88</f>
        <v>1121004.813261303</v>
      </c>
      <c r="DC88" s="41">
        <f aca="true" t="shared" si="113" ref="DC88:DC96">CW88*1000/0.45359237/$B88</f>
        <v>1001446.6120795611</v>
      </c>
      <c r="DD88" s="237">
        <f aca="true" t="shared" si="114" ref="DD88:DD96">CX88*1000/0.45359237/$B88</f>
        <v>1334697.1706624746</v>
      </c>
      <c r="DE88" s="39">
        <f t="shared" si="84"/>
        <v>-12196</v>
      </c>
      <c r="DF88" s="39">
        <f aca="true" t="shared" si="115" ref="DF88:DF96">AX88-CT88</f>
        <v>-8698</v>
      </c>
      <c r="DG88" s="39">
        <f aca="true" t="shared" si="116" ref="DG88:DG96">AY88-CU88</f>
        <v>-9610</v>
      </c>
      <c r="DH88" s="39">
        <f aca="true" t="shared" si="117" ref="DH88:DH96">AZ88-CV88</f>
        <v>-8399</v>
      </c>
      <c r="DI88" s="39">
        <f aca="true" t="shared" si="118" ref="DI88:DI96">BA88-CW88</f>
        <v>-7417</v>
      </c>
      <c r="DJ88" s="243">
        <f aca="true" t="shared" si="119" ref="DJ88:DK96">BB88-CX88</f>
        <v>-9946</v>
      </c>
      <c r="DK88" s="39">
        <f t="shared" si="119"/>
        <v>-1590111.0377453885</v>
      </c>
      <c r="DL88" s="39">
        <f aca="true" t="shared" si="120" ref="DL88:DL96">BD88-CZ88</f>
        <v>-1134042.7850368472</v>
      </c>
      <c r="DM88" s="39">
        <f aca="true" t="shared" si="121" ref="DM88:DM96">BE88-DA88</f>
        <v>-1252949.0876298114</v>
      </c>
      <c r="DN88" s="39">
        <f aca="true" t="shared" si="122" ref="DN88:DN96">BF88-DB88</f>
        <v>-1095059.2494279696</v>
      </c>
      <c r="DO88" s="39">
        <f aca="true" t="shared" si="123" ref="DO88:DO96">BG88-DC88</f>
        <v>-967026.366592124</v>
      </c>
      <c r="DP88" s="243">
        <f aca="true" t="shared" si="124" ref="DP88:DP96">BH88-DD88</f>
        <v>-1296756.6727956405</v>
      </c>
      <c r="DQ88" s="39">
        <f>DK88+Commerical!I88</f>
        <v>845597.9140989932</v>
      </c>
      <c r="DR88" s="39">
        <f>DL88+Commerical!J88</f>
        <v>1249387.0740714</v>
      </c>
      <c r="DS88" s="39">
        <f>DM88+Commerical!K88</f>
        <v>1278683.7198910522</v>
      </c>
      <c r="DT88" s="39">
        <f>DN88+Commerical!L88</f>
        <v>1464960.395777673</v>
      </c>
      <c r="DU88" s="39">
        <f>DO88+Commerical!M88</f>
        <v>1627944.5725129023</v>
      </c>
      <c r="DV88" s="243">
        <f>DP88+Commerical!N88</f>
        <v>1496153.3199155421</v>
      </c>
      <c r="DW88" s="39"/>
      <c r="DX88" s="39"/>
      <c r="DY88" s="38"/>
      <c r="DZ88" s="38"/>
      <c r="EA88" s="546"/>
      <c r="EB88" s="38"/>
      <c r="ED88" s="38"/>
    </row>
    <row r="89" spans="1:134" ht="12.75">
      <c r="A89" s="88" t="s">
        <v>647</v>
      </c>
      <c r="B89" s="29">
        <f>'Ave weights'!Q68</f>
        <v>9.92080179</v>
      </c>
      <c r="C89" s="41">
        <v>89773</v>
      </c>
      <c r="D89" s="397">
        <v>95242</v>
      </c>
      <c r="E89" s="397">
        <v>93487</v>
      </c>
      <c r="F89" s="397">
        <v>85808</v>
      </c>
      <c r="G89" s="495">
        <v>84154</v>
      </c>
      <c r="H89" s="401"/>
      <c r="I89" s="205"/>
      <c r="J89" s="205"/>
      <c r="K89" s="205"/>
      <c r="L89" s="618"/>
      <c r="M89" s="626"/>
      <c r="N89" s="205"/>
      <c r="O89" s="205"/>
      <c r="P89" s="205"/>
      <c r="R89" s="271">
        <v>80219</v>
      </c>
      <c r="S89" s="205"/>
      <c r="V89" s="205"/>
      <c r="W89" s="205"/>
      <c r="X89" s="216"/>
      <c r="Y89" s="205"/>
      <c r="Z89" s="205"/>
      <c r="AA89" s="205"/>
      <c r="AB89" s="205"/>
      <c r="AC89" s="38"/>
      <c r="AD89" s="41"/>
      <c r="AE89" s="616"/>
      <c r="AF89" s="205"/>
      <c r="AG89" s="205"/>
      <c r="AH89" s="205"/>
      <c r="AI89" s="205"/>
      <c r="AJ89" s="216"/>
      <c r="AK89" s="205"/>
      <c r="AL89" s="205"/>
      <c r="AM89" s="41"/>
      <c r="AN89" s="41"/>
      <c r="AO89" s="41"/>
      <c r="AP89" s="498"/>
      <c r="AQ89" s="39"/>
      <c r="AR89" s="39"/>
      <c r="AS89" s="205"/>
      <c r="AT89" s="205"/>
      <c r="AU89" s="205"/>
      <c r="AV89" s="235"/>
      <c r="AW89" s="41">
        <f t="shared" si="93"/>
        <v>89773</v>
      </c>
      <c r="AX89" s="41">
        <f t="shared" si="75"/>
        <v>95242</v>
      </c>
      <c r="AY89" s="41">
        <f t="shared" si="76"/>
        <v>93487</v>
      </c>
      <c r="AZ89" s="41">
        <f t="shared" si="94"/>
        <v>85808</v>
      </c>
      <c r="BA89" s="41">
        <f t="shared" si="95"/>
        <v>84154</v>
      </c>
      <c r="BB89" s="237">
        <f t="shared" si="96"/>
        <v>80219</v>
      </c>
      <c r="BC89" s="41">
        <f t="shared" si="97"/>
        <v>19949555.572285064</v>
      </c>
      <c r="BD89" s="41">
        <f t="shared" si="98"/>
        <v>21164888.906637564</v>
      </c>
      <c r="BE89" s="41">
        <f t="shared" si="99"/>
        <v>20774888.906310514</v>
      </c>
      <c r="BF89" s="41">
        <f t="shared" si="100"/>
        <v>19068444.46043506</v>
      </c>
      <c r="BG89" s="41">
        <f t="shared" si="101"/>
        <v>18700888.904571276</v>
      </c>
      <c r="BH89" s="237">
        <f t="shared" si="102"/>
        <v>17826444.45939353</v>
      </c>
      <c r="BI89" s="41">
        <v>3728</v>
      </c>
      <c r="BJ89" s="41">
        <v>9525</v>
      </c>
      <c r="BK89" s="41">
        <v>6389</v>
      </c>
      <c r="BL89" s="401">
        <v>8143</v>
      </c>
      <c r="BM89" s="401">
        <v>3408</v>
      </c>
      <c r="BN89" s="216">
        <v>3779</v>
      </c>
      <c r="BO89" s="205"/>
      <c r="BP89" s="205"/>
      <c r="BQ89" s="205"/>
      <c r="BR89" s="205"/>
      <c r="BS89" s="205"/>
      <c r="BT89" s="216"/>
      <c r="BU89" s="205"/>
      <c r="BV89" s="205"/>
      <c r="BW89" s="205"/>
      <c r="BX89" s="205"/>
      <c r="BY89" s="205"/>
      <c r="BZ89" s="235"/>
      <c r="CA89" s="41"/>
      <c r="CB89" s="41"/>
      <c r="CC89" s="205"/>
      <c r="CD89" s="205"/>
      <c r="CE89" s="400"/>
      <c r="CF89" s="216"/>
      <c r="CG89" s="205"/>
      <c r="CH89" s="205"/>
      <c r="CI89" s="39"/>
      <c r="CJ89" s="286"/>
      <c r="CK89" s="286"/>
      <c r="CL89" s="498"/>
      <c r="CM89" s="39"/>
      <c r="CN89" s="39"/>
      <c r="CO89" s="39"/>
      <c r="CP89" s="205"/>
      <c r="CQ89" s="205"/>
      <c r="CR89" s="282"/>
      <c r="CS89" s="41">
        <f t="shared" si="103"/>
        <v>3728</v>
      </c>
      <c r="CT89" s="41">
        <f t="shared" si="104"/>
        <v>9525</v>
      </c>
      <c r="CU89" s="41">
        <f t="shared" si="105"/>
        <v>6389</v>
      </c>
      <c r="CV89" s="41">
        <f t="shared" si="106"/>
        <v>8143</v>
      </c>
      <c r="CW89" s="41">
        <f t="shared" si="107"/>
        <v>3408</v>
      </c>
      <c r="CX89" s="237">
        <f t="shared" si="108"/>
        <v>3779</v>
      </c>
      <c r="CY89" s="41">
        <f t="shared" si="109"/>
        <v>828444.4451391702</v>
      </c>
      <c r="CZ89" s="41">
        <f t="shared" si="110"/>
        <v>2116666.668441683</v>
      </c>
      <c r="DA89" s="41">
        <f t="shared" si="111"/>
        <v>1419777.77896839</v>
      </c>
      <c r="DB89" s="41">
        <f t="shared" si="112"/>
        <v>1809555.5570730318</v>
      </c>
      <c r="DC89" s="41">
        <f t="shared" si="113"/>
        <v>757333.3339684259</v>
      </c>
      <c r="DD89" s="237">
        <f t="shared" si="114"/>
        <v>839777.7784820074</v>
      </c>
      <c r="DE89" s="39">
        <f t="shared" si="84"/>
        <v>86045</v>
      </c>
      <c r="DF89" s="39">
        <f t="shared" si="115"/>
        <v>85717</v>
      </c>
      <c r="DG89" s="39">
        <f t="shared" si="116"/>
        <v>87098</v>
      </c>
      <c r="DH89" s="39">
        <f t="shared" si="117"/>
        <v>77665</v>
      </c>
      <c r="DI89" s="39">
        <f t="shared" si="118"/>
        <v>80746</v>
      </c>
      <c r="DJ89" s="243">
        <f t="shared" si="119"/>
        <v>76440</v>
      </c>
      <c r="DK89" s="39">
        <f t="shared" si="119"/>
        <v>19121111.127145894</v>
      </c>
      <c r="DL89" s="39">
        <f t="shared" si="120"/>
        <v>19048222.23819588</v>
      </c>
      <c r="DM89" s="39">
        <f t="shared" si="121"/>
        <v>19355111.127342124</v>
      </c>
      <c r="DN89" s="39">
        <f t="shared" si="122"/>
        <v>17258888.90336203</v>
      </c>
      <c r="DO89" s="39">
        <f t="shared" si="123"/>
        <v>17943555.57060285</v>
      </c>
      <c r="DP89" s="243">
        <f t="shared" si="124"/>
        <v>16986666.680911522</v>
      </c>
      <c r="DQ89" s="39">
        <f>DK89+Commerical!I89</f>
        <v>19121111.127145894</v>
      </c>
      <c r="DR89" s="39">
        <f>DL89+Commerical!J89</f>
        <v>19048222.23819588</v>
      </c>
      <c r="DS89" s="39">
        <f>DM89+Commerical!K89</f>
        <v>19355111.127342124</v>
      </c>
      <c r="DT89" s="39">
        <f>DN89+Commerical!L89</f>
        <v>17258888.90336203</v>
      </c>
      <c r="DU89" s="39">
        <f>DO89+Commerical!M89</f>
        <v>17943555.57060285</v>
      </c>
      <c r="DV89" s="243">
        <f>DP89+Commerical!N89</f>
        <v>16986666.680911522</v>
      </c>
      <c r="DW89" s="39"/>
      <c r="DX89" s="39"/>
      <c r="DY89" s="38"/>
      <c r="DZ89" s="38"/>
      <c r="EA89" s="546"/>
      <c r="EB89" s="38"/>
      <c r="EC89" s="38"/>
      <c r="ED89" s="38"/>
    </row>
    <row r="90" spans="1:134" ht="12.75">
      <c r="A90" s="88" t="s">
        <v>230</v>
      </c>
      <c r="B90" s="29">
        <f>Commerical!B90</f>
        <v>20.236635005855</v>
      </c>
      <c r="C90" s="41">
        <v>2244</v>
      </c>
      <c r="D90" s="397">
        <v>2434</v>
      </c>
      <c r="E90" s="397">
        <v>2069</v>
      </c>
      <c r="F90" s="397">
        <v>2175</v>
      </c>
      <c r="G90" s="495">
        <v>3295</v>
      </c>
      <c r="H90" s="401"/>
      <c r="I90" s="205"/>
      <c r="J90" s="205"/>
      <c r="K90" s="205"/>
      <c r="L90" s="618"/>
      <c r="M90" s="626"/>
      <c r="N90" s="205"/>
      <c r="O90" s="205"/>
      <c r="P90" s="205"/>
      <c r="R90" s="271">
        <v>4629</v>
      </c>
      <c r="S90" s="205"/>
      <c r="V90" s="205"/>
      <c r="W90" s="205"/>
      <c r="X90" s="216"/>
      <c r="Y90" s="205"/>
      <c r="Z90" s="205"/>
      <c r="AA90" s="205"/>
      <c r="AB90" s="205"/>
      <c r="AC90" s="38"/>
      <c r="AD90" s="41"/>
      <c r="AE90" s="616"/>
      <c r="AF90" s="205"/>
      <c r="AG90" s="205"/>
      <c r="AH90" s="205"/>
      <c r="AI90" s="205"/>
      <c r="AJ90" s="216"/>
      <c r="AK90" s="205"/>
      <c r="AL90" s="205"/>
      <c r="AM90" s="41"/>
      <c r="AN90" s="41"/>
      <c r="AO90" s="41"/>
      <c r="AP90" s="498"/>
      <c r="AQ90" s="39"/>
      <c r="AR90" s="39"/>
      <c r="AS90" s="205"/>
      <c r="AT90" s="205"/>
      <c r="AU90" s="205"/>
      <c r="AV90" s="235"/>
      <c r="AW90" s="41">
        <f t="shared" si="93"/>
        <v>2244</v>
      </c>
      <c r="AX90" s="41">
        <f t="shared" si="75"/>
        <v>2434</v>
      </c>
      <c r="AY90" s="41">
        <f t="shared" si="76"/>
        <v>2069</v>
      </c>
      <c r="AZ90" s="41">
        <f t="shared" si="94"/>
        <v>2175</v>
      </c>
      <c r="BA90" s="41">
        <f t="shared" si="95"/>
        <v>3295</v>
      </c>
      <c r="BB90" s="237">
        <f t="shared" si="96"/>
        <v>4629</v>
      </c>
      <c r="BC90" s="41">
        <f t="shared" si="97"/>
        <v>244466.19519486828</v>
      </c>
      <c r="BD90" s="41">
        <f t="shared" si="98"/>
        <v>265165.20459193824</v>
      </c>
      <c r="BE90" s="41">
        <f t="shared" si="99"/>
        <v>225401.31811861962</v>
      </c>
      <c r="BF90" s="41">
        <f t="shared" si="100"/>
        <v>236949.18651909026</v>
      </c>
      <c r="BG90" s="41">
        <f t="shared" si="101"/>
        <v>358964.3998070815</v>
      </c>
      <c r="BH90" s="237">
        <f t="shared" si="102"/>
        <v>504293.23420545686</v>
      </c>
      <c r="BI90" s="41">
        <v>460</v>
      </c>
      <c r="BJ90" s="41">
        <v>441</v>
      </c>
      <c r="BK90" s="41">
        <v>548</v>
      </c>
      <c r="BL90" s="400">
        <v>208</v>
      </c>
      <c r="BM90" s="400">
        <v>496</v>
      </c>
      <c r="BN90" s="216">
        <v>549</v>
      </c>
      <c r="BO90" s="205"/>
      <c r="BP90" s="205"/>
      <c r="BQ90" s="205"/>
      <c r="BR90" s="205"/>
      <c r="BS90" s="205"/>
      <c r="BT90" s="216"/>
      <c r="BU90" s="205"/>
      <c r="BV90" s="205"/>
      <c r="BW90" s="205"/>
      <c r="BX90" s="205"/>
      <c r="BY90" s="205"/>
      <c r="BZ90" s="235"/>
      <c r="CA90" s="41"/>
      <c r="CB90" s="41"/>
      <c r="CC90" s="205"/>
      <c r="CD90" s="205"/>
      <c r="CE90" s="400"/>
      <c r="CF90" s="216"/>
      <c r="CG90" s="205"/>
      <c r="CH90" s="205"/>
      <c r="CI90" s="39"/>
      <c r="CJ90" s="286"/>
      <c r="CK90" s="286"/>
      <c r="CL90" s="498"/>
      <c r="CM90" s="39"/>
      <c r="CN90" s="39"/>
      <c r="CO90" s="39"/>
      <c r="CP90" s="205"/>
      <c r="CQ90" s="205"/>
      <c r="CR90" s="282"/>
      <c r="CS90" s="41">
        <f t="shared" si="103"/>
        <v>460</v>
      </c>
      <c r="CT90" s="41">
        <f t="shared" si="104"/>
        <v>441</v>
      </c>
      <c r="CU90" s="41">
        <f t="shared" si="105"/>
        <v>548</v>
      </c>
      <c r="CV90" s="41">
        <f t="shared" si="106"/>
        <v>208</v>
      </c>
      <c r="CW90" s="41">
        <f t="shared" si="107"/>
        <v>496</v>
      </c>
      <c r="CX90" s="237">
        <f t="shared" si="108"/>
        <v>549</v>
      </c>
      <c r="CY90" s="41">
        <f t="shared" si="109"/>
        <v>50113.39117185357</v>
      </c>
      <c r="CZ90" s="41">
        <f t="shared" si="110"/>
        <v>48043.49023214657</v>
      </c>
      <c r="DA90" s="41">
        <f t="shared" si="111"/>
        <v>59700.300787338594</v>
      </c>
      <c r="DB90" s="41">
        <f t="shared" si="112"/>
        <v>22659.968182055527</v>
      </c>
      <c r="DC90" s="41">
        <f t="shared" si="113"/>
        <v>54035.308741824716</v>
      </c>
      <c r="DD90" s="237">
        <f t="shared" si="114"/>
        <v>59809.24294206002</v>
      </c>
      <c r="DE90" s="39">
        <f t="shared" si="84"/>
        <v>1784</v>
      </c>
      <c r="DF90" s="39">
        <f t="shared" si="115"/>
        <v>1993</v>
      </c>
      <c r="DG90" s="39">
        <f t="shared" si="116"/>
        <v>1521</v>
      </c>
      <c r="DH90" s="39">
        <f t="shared" si="117"/>
        <v>1967</v>
      </c>
      <c r="DI90" s="39">
        <f t="shared" si="118"/>
        <v>2799</v>
      </c>
      <c r="DJ90" s="243">
        <f t="shared" si="119"/>
        <v>4080</v>
      </c>
      <c r="DK90" s="39">
        <f t="shared" si="119"/>
        <v>194352.80402301473</v>
      </c>
      <c r="DL90" s="39">
        <f t="shared" si="120"/>
        <v>217121.71435979166</v>
      </c>
      <c r="DM90" s="39">
        <f t="shared" si="121"/>
        <v>165701.01733128104</v>
      </c>
      <c r="DN90" s="39">
        <f t="shared" si="122"/>
        <v>214289.21833703475</v>
      </c>
      <c r="DO90" s="39">
        <f t="shared" si="123"/>
        <v>304929.0910652568</v>
      </c>
      <c r="DP90" s="243">
        <f t="shared" si="124"/>
        <v>444483.99126339686</v>
      </c>
      <c r="DQ90" s="39">
        <f>DK90+Commerical!I90</f>
        <v>923574.831090776</v>
      </c>
      <c r="DR90" s="39">
        <f>DL90+Commerical!J90</f>
        <v>875976.3112896867</v>
      </c>
      <c r="DS90" s="39">
        <f>DM90+Commerical!K90</f>
        <v>654912.7858459409</v>
      </c>
      <c r="DT90" s="39">
        <f>DN90+Commerical!L90</f>
        <v>698757.115157007</v>
      </c>
      <c r="DU90" s="39">
        <f>DO90+Commerical!M90</f>
        <v>1027084.7259211396</v>
      </c>
      <c r="DV90" s="243">
        <f>DP90+Commerical!N90</f>
        <v>1278664.1795761215</v>
      </c>
      <c r="DW90" s="39"/>
      <c r="DX90" s="39"/>
      <c r="DY90" s="38"/>
      <c r="DZ90" s="38"/>
      <c r="EA90" s="546"/>
      <c r="EB90" s="38"/>
      <c r="EC90" s="38"/>
      <c r="ED90" s="38"/>
    </row>
    <row r="91" spans="1:134" ht="12.75">
      <c r="A91" s="88" t="s">
        <v>231</v>
      </c>
      <c r="B91" s="29">
        <f>Commerical!B91</f>
        <v>13.76333286342</v>
      </c>
      <c r="C91" s="41">
        <v>1383</v>
      </c>
      <c r="D91" s="397">
        <v>472</v>
      </c>
      <c r="E91" s="397">
        <v>1353</v>
      </c>
      <c r="F91" s="397">
        <v>1285</v>
      </c>
      <c r="G91" s="495">
        <v>1647</v>
      </c>
      <c r="H91" s="401"/>
      <c r="I91" s="205"/>
      <c r="J91" s="205"/>
      <c r="K91" s="205"/>
      <c r="L91" s="618"/>
      <c r="M91" s="626"/>
      <c r="N91" s="205"/>
      <c r="O91" s="205"/>
      <c r="P91" s="205"/>
      <c r="R91" s="271">
        <v>2545</v>
      </c>
      <c r="S91" s="205"/>
      <c r="V91" s="205"/>
      <c r="W91" s="205"/>
      <c r="X91" s="216"/>
      <c r="Y91" s="205">
        <v>28</v>
      </c>
      <c r="Z91" s="205">
        <v>0</v>
      </c>
      <c r="AA91" s="205">
        <v>16</v>
      </c>
      <c r="AB91" s="205"/>
      <c r="AC91" s="38"/>
      <c r="AD91" s="41"/>
      <c r="AE91" s="616"/>
      <c r="AF91" s="205"/>
      <c r="AG91" s="205"/>
      <c r="AH91" s="205"/>
      <c r="AI91" s="205"/>
      <c r="AJ91" s="216"/>
      <c r="AK91" s="205"/>
      <c r="AL91" s="205"/>
      <c r="AM91" s="41"/>
      <c r="AN91" s="41"/>
      <c r="AO91" s="41"/>
      <c r="AP91" s="498"/>
      <c r="AQ91" s="39"/>
      <c r="AR91" s="39"/>
      <c r="AS91" s="205"/>
      <c r="AT91" s="205"/>
      <c r="AU91" s="205"/>
      <c r="AV91" s="235"/>
      <c r="AW91" s="41">
        <f t="shared" si="93"/>
        <v>1411</v>
      </c>
      <c r="AX91" s="41">
        <f t="shared" si="75"/>
        <v>472</v>
      </c>
      <c r="AY91" s="41">
        <f t="shared" si="76"/>
        <v>1369</v>
      </c>
      <c r="AZ91" s="41">
        <f t="shared" si="94"/>
        <v>1285</v>
      </c>
      <c r="BA91" s="41">
        <f t="shared" si="95"/>
        <v>1647</v>
      </c>
      <c r="BB91" s="237">
        <f t="shared" si="96"/>
        <v>2545</v>
      </c>
      <c r="BC91" s="41">
        <f t="shared" si="97"/>
        <v>226015.2065126797</v>
      </c>
      <c r="BD91" s="41">
        <f t="shared" si="98"/>
        <v>75605.370286311</v>
      </c>
      <c r="BE91" s="41">
        <f t="shared" si="99"/>
        <v>219287.61000415203</v>
      </c>
      <c r="BF91" s="41">
        <f t="shared" si="100"/>
        <v>205832.41698709666</v>
      </c>
      <c r="BG91" s="41">
        <f t="shared" si="101"/>
        <v>263817.8916558352</v>
      </c>
      <c r="BH91" s="237">
        <f t="shared" si="102"/>
        <v>407660.31224292686</v>
      </c>
      <c r="BI91" s="41">
        <v>32021</v>
      </c>
      <c r="BJ91" s="41">
        <v>35781</v>
      </c>
      <c r="BK91" s="41">
        <v>34423</v>
      </c>
      <c r="BL91" s="401">
        <v>35160</v>
      </c>
      <c r="BM91" s="401">
        <v>27479</v>
      </c>
      <c r="BN91" s="216">
        <v>38862</v>
      </c>
      <c r="BO91" s="205"/>
      <c r="BP91" s="205"/>
      <c r="BQ91" s="205"/>
      <c r="BR91" s="205"/>
      <c r="BS91" s="205"/>
      <c r="BT91" s="216"/>
      <c r="BU91" s="205">
        <v>1184</v>
      </c>
      <c r="BV91" s="205">
        <v>1207</v>
      </c>
      <c r="BW91" s="205">
        <v>1158</v>
      </c>
      <c r="BX91" s="401">
        <v>1255</v>
      </c>
      <c r="BY91" s="400">
        <v>594</v>
      </c>
      <c r="BZ91" s="235"/>
      <c r="CA91" s="41"/>
      <c r="CB91" s="41"/>
      <c r="CC91" s="205"/>
      <c r="CD91" s="205"/>
      <c r="CE91" s="400"/>
      <c r="CF91" s="216"/>
      <c r="CG91" s="205"/>
      <c r="CH91" s="205"/>
      <c r="CI91" s="39"/>
      <c r="CJ91" s="286"/>
      <c r="CK91" s="286"/>
      <c r="CL91" s="498"/>
      <c r="CM91" s="39"/>
      <c r="CN91" s="39"/>
      <c r="CO91" s="39"/>
      <c r="CP91" s="205"/>
      <c r="CQ91" s="205"/>
      <c r="CR91" s="282"/>
      <c r="CS91" s="41">
        <f t="shared" si="103"/>
        <v>33205</v>
      </c>
      <c r="CT91" s="41">
        <f t="shared" si="104"/>
        <v>36988</v>
      </c>
      <c r="CU91" s="41">
        <f t="shared" si="105"/>
        <v>35581</v>
      </c>
      <c r="CV91" s="41">
        <f t="shared" si="106"/>
        <v>36415</v>
      </c>
      <c r="CW91" s="41">
        <f t="shared" si="107"/>
        <v>28073</v>
      </c>
      <c r="CX91" s="237">
        <f t="shared" si="108"/>
        <v>38862</v>
      </c>
      <c r="CY91" s="41">
        <f t="shared" si="109"/>
        <v>5318805.763468129</v>
      </c>
      <c r="CZ91" s="41">
        <f t="shared" si="110"/>
        <v>5924769.991843371</v>
      </c>
      <c r="DA91" s="41">
        <f t="shared" si="111"/>
        <v>5699395.508807694</v>
      </c>
      <c r="DB91" s="41">
        <f t="shared" si="112"/>
        <v>5832986.353762744</v>
      </c>
      <c r="DC91" s="41">
        <f t="shared" si="113"/>
        <v>4496757.542473746</v>
      </c>
      <c r="DD91" s="237">
        <f t="shared" si="114"/>
        <v>6224948.940819105</v>
      </c>
      <c r="DE91" s="39">
        <f t="shared" si="84"/>
        <v>-31794</v>
      </c>
      <c r="DF91" s="39">
        <f t="shared" si="115"/>
        <v>-36516</v>
      </c>
      <c r="DG91" s="39">
        <f t="shared" si="116"/>
        <v>-34212</v>
      </c>
      <c r="DH91" s="39">
        <f t="shared" si="117"/>
        <v>-35130</v>
      </c>
      <c r="DI91" s="39">
        <f t="shared" si="118"/>
        <v>-26426</v>
      </c>
      <c r="DJ91" s="243">
        <f t="shared" si="119"/>
        <v>-36317</v>
      </c>
      <c r="DK91" s="39">
        <f t="shared" si="119"/>
        <v>-5092790.556955449</v>
      </c>
      <c r="DL91" s="39">
        <f t="shared" si="120"/>
        <v>-5849164.62155706</v>
      </c>
      <c r="DM91" s="39">
        <f t="shared" si="121"/>
        <v>-5480107.898803541</v>
      </c>
      <c r="DN91" s="39">
        <f t="shared" si="122"/>
        <v>-5627153.936775647</v>
      </c>
      <c r="DO91" s="39">
        <f t="shared" si="123"/>
        <v>-4232939.650817911</v>
      </c>
      <c r="DP91" s="243">
        <f t="shared" si="124"/>
        <v>-5817288.628576178</v>
      </c>
      <c r="DQ91" s="39">
        <f>DK91+Commerical!I91</f>
        <v>2355696.013653159</v>
      </c>
      <c r="DR91" s="39">
        <f>DL91+Commerical!J91</f>
        <v>2549963.7833978264</v>
      </c>
      <c r="DS91" s="39">
        <f>DM91+Commerical!K91</f>
        <v>2685646.7999513876</v>
      </c>
      <c r="DT91" s="39">
        <f>DN91+Commerical!L91</f>
        <v>3512928.7196820937</v>
      </c>
      <c r="DU91" s="39">
        <f>DO91+Commerical!M91</f>
        <v>3698569.459895715</v>
      </c>
      <c r="DV91" s="243">
        <f>DP91+Commerical!N91</f>
        <v>5141975.489847483</v>
      </c>
      <c r="DW91" s="39"/>
      <c r="DX91" s="39"/>
      <c r="DY91" s="38"/>
      <c r="DZ91" s="38"/>
      <c r="EA91" s="546"/>
      <c r="EB91" s="38"/>
      <c r="EC91" s="38"/>
      <c r="ED91" s="38"/>
    </row>
    <row r="92" spans="1:134" ht="13.5">
      <c r="A92" s="88" t="s">
        <v>232</v>
      </c>
      <c r="B92" s="29">
        <f>Commerical!B92</f>
        <v>4.00910623447</v>
      </c>
      <c r="C92" s="41">
        <v>1136</v>
      </c>
      <c r="D92" s="623">
        <v>88</v>
      </c>
      <c r="E92" s="398">
        <v>307</v>
      </c>
      <c r="F92" s="398">
        <v>140</v>
      </c>
      <c r="G92" s="494">
        <v>406</v>
      </c>
      <c r="H92" s="401"/>
      <c r="I92" s="205"/>
      <c r="J92" s="205"/>
      <c r="K92" s="205"/>
      <c r="L92" s="618"/>
      <c r="M92" s="626"/>
      <c r="N92" s="205"/>
      <c r="O92" s="205"/>
      <c r="P92" s="205"/>
      <c r="Q92" s="396"/>
      <c r="R92" s="271">
        <v>395</v>
      </c>
      <c r="S92" s="205"/>
      <c r="T92" s="205"/>
      <c r="U92" s="205"/>
      <c r="V92" s="205"/>
      <c r="W92" s="205"/>
      <c r="X92" s="216"/>
      <c r="Y92" s="205">
        <v>2080</v>
      </c>
      <c r="Z92" s="205">
        <v>3355</v>
      </c>
      <c r="AA92" s="205">
        <v>4425</v>
      </c>
      <c r="AB92" s="397">
        <v>2475</v>
      </c>
      <c r="AC92" s="397">
        <v>3836</v>
      </c>
      <c r="AD92" s="41">
        <v>3013</v>
      </c>
      <c r="AE92" s="616"/>
      <c r="AF92" s="205"/>
      <c r="AG92" s="205"/>
      <c r="AH92" s="205"/>
      <c r="AI92" s="205"/>
      <c r="AJ92" s="216"/>
      <c r="AK92" s="205"/>
      <c r="AL92" s="205"/>
      <c r="AM92" s="41"/>
      <c r="AN92" s="41"/>
      <c r="AO92" s="41"/>
      <c r="AP92" s="498"/>
      <c r="AQ92" s="39"/>
      <c r="AR92" s="39"/>
      <c r="AS92" s="205"/>
      <c r="AT92" s="205"/>
      <c r="AU92" s="205"/>
      <c r="AV92" s="235"/>
      <c r="AW92" s="41">
        <f t="shared" si="93"/>
        <v>3216</v>
      </c>
      <c r="AX92" s="41">
        <f t="shared" si="75"/>
        <v>3443</v>
      </c>
      <c r="AY92" s="41">
        <f t="shared" si="76"/>
        <v>4732</v>
      </c>
      <c r="AZ92" s="41">
        <f t="shared" si="94"/>
        <v>2615</v>
      </c>
      <c r="BA92" s="41">
        <f t="shared" si="95"/>
        <v>4242</v>
      </c>
      <c r="BB92" s="237">
        <f t="shared" si="96"/>
        <v>3408</v>
      </c>
      <c r="BC92" s="41">
        <f t="shared" si="97"/>
        <v>1768490.5156430614</v>
      </c>
      <c r="BD92" s="41">
        <f t="shared" si="98"/>
        <v>1893318.6708206034</v>
      </c>
      <c r="BE92" s="41">
        <f t="shared" si="99"/>
        <v>2602144.6268728133</v>
      </c>
      <c r="BF92" s="41">
        <f t="shared" si="100"/>
        <v>1437998.3514945915</v>
      </c>
      <c r="BG92" s="41">
        <f t="shared" si="101"/>
        <v>2332691.780894859</v>
      </c>
      <c r="BH92" s="237">
        <f t="shared" si="102"/>
        <v>1874072.0389650352</v>
      </c>
      <c r="BI92" s="41">
        <v>79844</v>
      </c>
      <c r="BJ92" s="41">
        <v>59327</v>
      </c>
      <c r="BK92" s="41">
        <v>41012</v>
      </c>
      <c r="BL92" s="401">
        <v>34730</v>
      </c>
      <c r="BM92" s="401">
        <v>58903</v>
      </c>
      <c r="BN92" s="216">
        <v>30145</v>
      </c>
      <c r="BO92" s="205"/>
      <c r="BP92" s="205"/>
      <c r="BQ92" s="205"/>
      <c r="BR92" s="205"/>
      <c r="BS92" s="205"/>
      <c r="BT92" s="216"/>
      <c r="BU92" s="205">
        <v>18143</v>
      </c>
      <c r="BV92" s="205">
        <v>13043</v>
      </c>
      <c r="BW92" s="205">
        <v>15353</v>
      </c>
      <c r="BX92" s="401">
        <v>19610</v>
      </c>
      <c r="BY92" s="401">
        <v>19625</v>
      </c>
      <c r="BZ92" s="235"/>
      <c r="CA92" s="41"/>
      <c r="CB92" s="41"/>
      <c r="CC92" s="205"/>
      <c r="CD92" s="205"/>
      <c r="CE92" s="400"/>
      <c r="CF92" s="216"/>
      <c r="CG92" s="205"/>
      <c r="CH92" s="205"/>
      <c r="CI92" s="39"/>
      <c r="CJ92" s="286"/>
      <c r="CK92" s="286"/>
      <c r="CL92" s="498"/>
      <c r="CM92" s="39"/>
      <c r="CN92" s="39"/>
      <c r="CO92" s="39"/>
      <c r="CP92" s="205"/>
      <c r="CQ92" s="205"/>
      <c r="CR92" s="282"/>
      <c r="CS92" s="41">
        <f t="shared" si="103"/>
        <v>97987</v>
      </c>
      <c r="CT92" s="41">
        <f t="shared" si="104"/>
        <v>72370</v>
      </c>
      <c r="CU92" s="41">
        <f t="shared" si="105"/>
        <v>56365</v>
      </c>
      <c r="CV92" s="41">
        <f t="shared" si="106"/>
        <v>54340</v>
      </c>
      <c r="CW92" s="41">
        <f t="shared" si="107"/>
        <v>78528</v>
      </c>
      <c r="CX92" s="237">
        <f t="shared" si="108"/>
        <v>30145</v>
      </c>
      <c r="CY92" s="41">
        <f t="shared" si="109"/>
        <v>53883420.44661588</v>
      </c>
      <c r="CZ92" s="41">
        <f t="shared" si="110"/>
        <v>39796535.6396419</v>
      </c>
      <c r="DA92" s="41">
        <f t="shared" si="111"/>
        <v>30995325.84397424</v>
      </c>
      <c r="DB92" s="41">
        <f t="shared" si="112"/>
        <v>29881770.7151878</v>
      </c>
      <c r="DC92" s="41">
        <f t="shared" si="113"/>
        <v>43182843.038687296</v>
      </c>
      <c r="DD92" s="237">
        <f t="shared" si="114"/>
        <v>16576849.065317191</v>
      </c>
      <c r="DE92" s="39">
        <f t="shared" si="84"/>
        <v>-94771</v>
      </c>
      <c r="DF92" s="39">
        <f t="shared" si="115"/>
        <v>-68927</v>
      </c>
      <c r="DG92" s="39">
        <f t="shared" si="116"/>
        <v>-51633</v>
      </c>
      <c r="DH92" s="39">
        <f t="shared" si="117"/>
        <v>-51725</v>
      </c>
      <c r="DI92" s="39">
        <f t="shared" si="118"/>
        <v>-74286</v>
      </c>
      <c r="DJ92" s="243">
        <f t="shared" si="119"/>
        <v>-26737</v>
      </c>
      <c r="DK92" s="39">
        <f t="shared" si="119"/>
        <v>-52114929.93097282</v>
      </c>
      <c r="DL92" s="39">
        <f t="shared" si="120"/>
        <v>-37903216.9688213</v>
      </c>
      <c r="DM92" s="39">
        <f t="shared" si="121"/>
        <v>-28393181.217101425</v>
      </c>
      <c r="DN92" s="39">
        <f t="shared" si="122"/>
        <v>-28443772.363693208</v>
      </c>
      <c r="DO92" s="39">
        <f t="shared" si="123"/>
        <v>-40850151.257792436</v>
      </c>
      <c r="DP92" s="243">
        <f t="shared" si="124"/>
        <v>-14702777.026352156</v>
      </c>
      <c r="DQ92" s="39">
        <f>DK92+Commerical!I92</f>
        <v>44762024.00470776</v>
      </c>
      <c r="DR92" s="39">
        <f>DL92+Commerical!J92</f>
        <v>55024477.68710534</v>
      </c>
      <c r="DS92" s="39">
        <f>DM92+Commerical!K92</f>
        <v>44898964.91602413</v>
      </c>
      <c r="DT92" s="39">
        <f>DN92+Commerical!L92</f>
        <v>36539539.31810391</v>
      </c>
      <c r="DU92" s="39">
        <f>DO92+Commerical!M92</f>
        <v>73255829.78775004</v>
      </c>
      <c r="DV92" s="243">
        <f>DP92+Commerical!N92</f>
        <v>40611546.67335808</v>
      </c>
      <c r="DW92" s="39"/>
      <c r="DX92" s="39"/>
      <c r="DY92" s="38"/>
      <c r="DZ92" s="38"/>
      <c r="EA92" s="546"/>
      <c r="EB92" s="38"/>
      <c r="EC92" s="38"/>
      <c r="ED92" s="38"/>
    </row>
    <row r="93" spans="1:134" ht="13.5">
      <c r="A93" s="88" t="s">
        <v>233</v>
      </c>
      <c r="B93" s="29">
        <f>Commerical!B93</f>
        <v>6.737298692666666</v>
      </c>
      <c r="C93" s="41">
        <v>758</v>
      </c>
      <c r="D93" s="397">
        <v>3611</v>
      </c>
      <c r="E93" s="398">
        <v>150</v>
      </c>
      <c r="F93" s="398">
        <v>426</v>
      </c>
      <c r="G93" s="494">
        <v>294</v>
      </c>
      <c r="H93" s="401"/>
      <c r="I93" s="205"/>
      <c r="J93" s="205"/>
      <c r="K93" s="205"/>
      <c r="L93" s="618"/>
      <c r="M93" s="626"/>
      <c r="N93" s="205"/>
      <c r="O93" s="205"/>
      <c r="P93" s="205"/>
      <c r="R93" s="271">
        <v>859</v>
      </c>
      <c r="S93" s="205"/>
      <c r="T93" s="205"/>
      <c r="U93" s="205"/>
      <c r="V93" s="205"/>
      <c r="W93" s="205"/>
      <c r="X93" s="216"/>
      <c r="Y93" s="205">
        <v>59</v>
      </c>
      <c r="Z93" s="205">
        <v>47</v>
      </c>
      <c r="AA93" s="205">
        <v>79</v>
      </c>
      <c r="AB93" s="398">
        <v>89</v>
      </c>
      <c r="AC93" s="398">
        <v>98</v>
      </c>
      <c r="AD93" s="41">
        <v>95</v>
      </c>
      <c r="AE93" s="616"/>
      <c r="AF93" s="205"/>
      <c r="AG93" s="205"/>
      <c r="AH93" s="205"/>
      <c r="AI93" s="205"/>
      <c r="AJ93" s="216"/>
      <c r="AK93" s="205"/>
      <c r="AL93" s="205"/>
      <c r="AM93" s="41"/>
      <c r="AN93" s="41"/>
      <c r="AO93" s="41"/>
      <c r="AP93" s="498"/>
      <c r="AQ93" s="39"/>
      <c r="AR93" s="39"/>
      <c r="AS93" s="205"/>
      <c r="AT93" s="205"/>
      <c r="AU93" s="205"/>
      <c r="AV93" s="235"/>
      <c r="AW93" s="41">
        <f t="shared" si="93"/>
        <v>817</v>
      </c>
      <c r="AX93" s="41">
        <f t="shared" si="75"/>
        <v>3658</v>
      </c>
      <c r="AY93" s="41">
        <f t="shared" si="76"/>
        <v>229</v>
      </c>
      <c r="AZ93" s="41">
        <f t="shared" si="94"/>
        <v>515</v>
      </c>
      <c r="BA93" s="41">
        <f t="shared" si="95"/>
        <v>392</v>
      </c>
      <c r="BB93" s="237">
        <f t="shared" si="96"/>
        <v>954</v>
      </c>
      <c r="BC93" s="41">
        <f t="shared" si="97"/>
        <v>267344.04458139476</v>
      </c>
      <c r="BD93" s="41">
        <f t="shared" si="98"/>
        <v>1196994.5105002963</v>
      </c>
      <c r="BE93" s="41">
        <f t="shared" si="99"/>
        <v>74934.86684105189</v>
      </c>
      <c r="BF93" s="41">
        <f t="shared" si="100"/>
        <v>168521.6437691778</v>
      </c>
      <c r="BG93" s="41">
        <f t="shared" si="101"/>
        <v>128272.78516022857</v>
      </c>
      <c r="BH93" s="237">
        <f t="shared" si="102"/>
        <v>312174.0740889236</v>
      </c>
      <c r="BI93" s="41">
        <v>41706</v>
      </c>
      <c r="BJ93" s="41">
        <v>42387</v>
      </c>
      <c r="BK93" s="41">
        <v>37797</v>
      </c>
      <c r="BL93" s="401">
        <v>36806</v>
      </c>
      <c r="BM93" s="401">
        <v>34514</v>
      </c>
      <c r="BN93" s="216">
        <v>28639</v>
      </c>
      <c r="BO93" s="205"/>
      <c r="BP93" s="205"/>
      <c r="BQ93" s="205"/>
      <c r="BR93" s="205"/>
      <c r="BS93" s="205"/>
      <c r="BT93" s="216"/>
      <c r="BU93" s="205">
        <v>2589</v>
      </c>
      <c r="BV93" s="205">
        <v>21960</v>
      </c>
      <c r="BW93" s="205">
        <v>22667</v>
      </c>
      <c r="BX93" s="401">
        <v>25757</v>
      </c>
      <c r="BY93" s="401">
        <v>27260</v>
      </c>
      <c r="BZ93" s="235"/>
      <c r="CA93" s="41"/>
      <c r="CB93" s="41"/>
      <c r="CC93" s="205"/>
      <c r="CD93" s="205"/>
      <c r="CE93" s="515"/>
      <c r="CF93" s="216"/>
      <c r="CG93" s="205"/>
      <c r="CH93" s="205"/>
      <c r="CI93" s="39"/>
      <c r="CJ93" s="407"/>
      <c r="CK93" s="407"/>
      <c r="CL93" s="498"/>
      <c r="CM93" s="39"/>
      <c r="CN93" s="39"/>
      <c r="CO93" s="39"/>
      <c r="CP93" s="205"/>
      <c r="CQ93" s="205"/>
      <c r="CR93" s="282"/>
      <c r="CS93" s="41">
        <f t="shared" si="103"/>
        <v>44295</v>
      </c>
      <c r="CT93" s="41">
        <f t="shared" si="104"/>
        <v>64347</v>
      </c>
      <c r="CU93" s="41">
        <f t="shared" si="105"/>
        <v>60464</v>
      </c>
      <c r="CV93" s="41">
        <f t="shared" si="106"/>
        <v>62563</v>
      </c>
      <c r="CW93" s="41">
        <f t="shared" si="107"/>
        <v>61774</v>
      </c>
      <c r="CX93" s="237">
        <f t="shared" si="108"/>
        <v>28639</v>
      </c>
      <c r="CY93" s="41">
        <f t="shared" si="109"/>
        <v>14494497.496613072</v>
      </c>
      <c r="CZ93" s="41">
        <f t="shared" si="110"/>
        <v>21056043.12935007</v>
      </c>
      <c r="DA93" s="41">
        <f t="shared" si="111"/>
        <v>19785422.657979745</v>
      </c>
      <c r="DB93" s="41">
        <f t="shared" si="112"/>
        <v>20472271.066273928</v>
      </c>
      <c r="DC93" s="41">
        <f t="shared" si="113"/>
        <v>20214089.36348969</v>
      </c>
      <c r="DD93" s="237">
        <f t="shared" si="114"/>
        <v>9371439.526030067</v>
      </c>
      <c r="DE93" s="39">
        <f t="shared" si="84"/>
        <v>-43478</v>
      </c>
      <c r="DF93" s="39">
        <f t="shared" si="115"/>
        <v>-60689</v>
      </c>
      <c r="DG93" s="39">
        <f t="shared" si="116"/>
        <v>-60235</v>
      </c>
      <c r="DH93" s="39">
        <f t="shared" si="117"/>
        <v>-62048</v>
      </c>
      <c r="DI93" s="39">
        <f t="shared" si="118"/>
        <v>-61382</v>
      </c>
      <c r="DJ93" s="243">
        <f t="shared" si="119"/>
        <v>-27685</v>
      </c>
      <c r="DK93" s="39">
        <f t="shared" si="119"/>
        <v>-14227153.452031678</v>
      </c>
      <c r="DL93" s="39">
        <f t="shared" si="120"/>
        <v>-19859048.618849773</v>
      </c>
      <c r="DM93" s="39">
        <f t="shared" si="121"/>
        <v>-19710487.791138694</v>
      </c>
      <c r="DN93" s="39">
        <f t="shared" si="122"/>
        <v>-20303749.42250475</v>
      </c>
      <c r="DO93" s="39">
        <f t="shared" si="123"/>
        <v>-20085816.578329463</v>
      </c>
      <c r="DP93" s="243">
        <f t="shared" si="124"/>
        <v>-9059265.451941144</v>
      </c>
      <c r="DQ93" s="39">
        <f>DK93+Commerical!I93</f>
        <v>22810836.309593692</v>
      </c>
      <c r="DR93" s="39">
        <f>DL93+Commerical!J93</f>
        <v>17691461.094393376</v>
      </c>
      <c r="DS93" s="39">
        <f>DM93+Commerical!K93</f>
        <v>18308162.06904985</v>
      </c>
      <c r="DT93" s="39">
        <f>DN93+Commerical!L93</f>
        <v>13063481.311185747</v>
      </c>
      <c r="DU93" s="39">
        <f>DO93+Commerical!M93</f>
        <v>20966987.018021982</v>
      </c>
      <c r="DV93" s="243">
        <f>DP93+Commerical!N93</f>
        <v>26355521.821734052</v>
      </c>
      <c r="DW93" s="39"/>
      <c r="DX93" s="39"/>
      <c r="DY93" s="38"/>
      <c r="DZ93" s="38"/>
      <c r="EA93" s="546"/>
      <c r="EB93" s="38"/>
      <c r="EC93" s="38"/>
      <c r="ED93" s="38"/>
    </row>
    <row r="94" spans="1:134" ht="12.75">
      <c r="A94" s="88" t="s">
        <v>234</v>
      </c>
      <c r="B94" s="29">
        <f>Commerical!B94</f>
        <v>9.981304963333333</v>
      </c>
      <c r="C94" s="41">
        <v>851</v>
      </c>
      <c r="D94" s="397">
        <v>764</v>
      </c>
      <c r="E94" s="398">
        <v>714</v>
      </c>
      <c r="F94" s="398">
        <v>538</v>
      </c>
      <c r="G94" s="495">
        <v>1380</v>
      </c>
      <c r="H94" s="401"/>
      <c r="I94" s="205"/>
      <c r="J94" s="205"/>
      <c r="K94" s="205"/>
      <c r="L94" s="502"/>
      <c r="M94" s="628"/>
      <c r="N94" s="205"/>
      <c r="O94" s="205"/>
      <c r="P94" s="205"/>
      <c r="Q94" s="205"/>
      <c r="R94" s="271">
        <v>1155</v>
      </c>
      <c r="S94" s="205"/>
      <c r="V94" s="205"/>
      <c r="W94" s="205"/>
      <c r="X94" s="216"/>
      <c r="Y94" s="205"/>
      <c r="AB94" s="205"/>
      <c r="AC94" s="38"/>
      <c r="AD94" s="41"/>
      <c r="AE94" s="616"/>
      <c r="AF94" s="205"/>
      <c r="AG94" s="205"/>
      <c r="AH94" s="205"/>
      <c r="AI94" s="205"/>
      <c r="AJ94" s="216"/>
      <c r="AK94" s="205"/>
      <c r="AL94" s="205"/>
      <c r="AM94" s="41"/>
      <c r="AN94" s="41"/>
      <c r="AO94" s="41"/>
      <c r="AP94" s="498"/>
      <c r="AQ94" s="39"/>
      <c r="AR94" s="39"/>
      <c r="AS94" s="205"/>
      <c r="AT94" s="205"/>
      <c r="AU94" s="205"/>
      <c r="AV94" s="235"/>
      <c r="AW94" s="41">
        <f t="shared" si="93"/>
        <v>851</v>
      </c>
      <c r="AX94" s="41">
        <f t="shared" si="75"/>
        <v>764</v>
      </c>
      <c r="AY94" s="41">
        <f t="shared" si="76"/>
        <v>714</v>
      </c>
      <c r="AZ94" s="41">
        <f t="shared" si="94"/>
        <v>538</v>
      </c>
      <c r="BA94" s="41">
        <f t="shared" si="95"/>
        <v>1380</v>
      </c>
      <c r="BB94" s="237">
        <f t="shared" si="96"/>
        <v>1155</v>
      </c>
      <c r="BC94" s="41">
        <f t="shared" si="97"/>
        <v>187964.785975917</v>
      </c>
      <c r="BD94" s="41">
        <f t="shared" si="98"/>
        <v>168748.64451891964</v>
      </c>
      <c r="BE94" s="41">
        <f t="shared" si="99"/>
        <v>157704.88506087512</v>
      </c>
      <c r="BF94" s="41">
        <f t="shared" si="100"/>
        <v>118830.85176855857</v>
      </c>
      <c r="BG94" s="41">
        <f t="shared" si="101"/>
        <v>304807.7610420276</v>
      </c>
      <c r="BH94" s="237">
        <f t="shared" si="102"/>
        <v>255110.84348082743</v>
      </c>
      <c r="BI94" s="41">
        <v>5234</v>
      </c>
      <c r="BJ94" s="41">
        <v>5764</v>
      </c>
      <c r="BK94" s="41">
        <v>5766</v>
      </c>
      <c r="BL94" s="401">
        <v>4478</v>
      </c>
      <c r="BM94" s="401">
        <v>4864</v>
      </c>
      <c r="BN94" s="216">
        <v>6633</v>
      </c>
      <c r="BO94" s="205"/>
      <c r="BP94" s="205"/>
      <c r="BQ94" s="205"/>
      <c r="BR94" s="205"/>
      <c r="BS94" s="205"/>
      <c r="BT94" s="216"/>
      <c r="BU94" s="205"/>
      <c r="BV94" s="286"/>
      <c r="BW94" s="205"/>
      <c r="BX94" s="286"/>
      <c r="BY94" s="286"/>
      <c r="BZ94" s="235"/>
      <c r="CA94" s="41"/>
      <c r="CB94" s="41"/>
      <c r="CC94" s="205"/>
      <c r="CD94" s="205"/>
      <c r="CE94" s="400"/>
      <c r="CF94" s="216"/>
      <c r="CG94" s="205"/>
      <c r="CH94" s="205"/>
      <c r="CI94" s="39"/>
      <c r="CJ94" s="286"/>
      <c r="CK94" s="286"/>
      <c r="CL94" s="498"/>
      <c r="CM94" s="39"/>
      <c r="CN94" s="39"/>
      <c r="CO94" s="39"/>
      <c r="CP94" s="205"/>
      <c r="CQ94" s="205"/>
      <c r="CR94" s="282"/>
      <c r="CS94" s="41">
        <f t="shared" si="103"/>
        <v>5234</v>
      </c>
      <c r="CT94" s="41">
        <f t="shared" si="104"/>
        <v>5764</v>
      </c>
      <c r="CU94" s="41">
        <f t="shared" si="105"/>
        <v>5766</v>
      </c>
      <c r="CV94" s="41">
        <f t="shared" si="106"/>
        <v>4478</v>
      </c>
      <c r="CW94" s="41">
        <f t="shared" si="107"/>
        <v>4864</v>
      </c>
      <c r="CX94" s="237">
        <f t="shared" si="108"/>
        <v>6633</v>
      </c>
      <c r="CY94" s="41">
        <f t="shared" si="109"/>
        <v>1156060.740068096</v>
      </c>
      <c r="CZ94" s="41">
        <f t="shared" si="110"/>
        <v>1273124.5903233674</v>
      </c>
      <c r="DA94" s="41">
        <f t="shared" si="111"/>
        <v>1273566.3407016892</v>
      </c>
      <c r="DB94" s="41">
        <f t="shared" si="112"/>
        <v>989079.0970624635</v>
      </c>
      <c r="DC94" s="41">
        <f t="shared" si="113"/>
        <v>1074336.9200785668</v>
      </c>
      <c r="DD94" s="237">
        <f t="shared" si="114"/>
        <v>1465065.1297041804</v>
      </c>
      <c r="DE94" s="39">
        <f t="shared" si="84"/>
        <v>-4383</v>
      </c>
      <c r="DF94" s="39">
        <f t="shared" si="115"/>
        <v>-5000</v>
      </c>
      <c r="DG94" s="39">
        <f t="shared" si="116"/>
        <v>-5052</v>
      </c>
      <c r="DH94" s="39">
        <f t="shared" si="117"/>
        <v>-3940</v>
      </c>
      <c r="DI94" s="39">
        <f t="shared" si="118"/>
        <v>-3484</v>
      </c>
      <c r="DJ94" s="243">
        <f t="shared" si="119"/>
        <v>-5478</v>
      </c>
      <c r="DK94" s="39">
        <f t="shared" si="119"/>
        <v>-968095.954092179</v>
      </c>
      <c r="DL94" s="39">
        <f t="shared" si="120"/>
        <v>-1104375.9458044479</v>
      </c>
      <c r="DM94" s="39">
        <f t="shared" si="121"/>
        <v>-1115861.455640814</v>
      </c>
      <c r="DN94" s="39">
        <f t="shared" si="122"/>
        <v>-870248.2452939049</v>
      </c>
      <c r="DO94" s="39">
        <f t="shared" si="123"/>
        <v>-769529.1590365391</v>
      </c>
      <c r="DP94" s="243">
        <f t="shared" si="124"/>
        <v>-1209954.286223353</v>
      </c>
      <c r="DQ94" s="39">
        <f>DK94+Commerical!I94</f>
        <v>1525465.768691625</v>
      </c>
      <c r="DR94" s="39">
        <f>DL94+Commerical!J94</f>
        <v>2227953.856980401</v>
      </c>
      <c r="DS94" s="39">
        <f>DM94+Commerical!K94</f>
        <v>2183807.287172661</v>
      </c>
      <c r="DT94" s="39">
        <f>DN94+Commerical!L94</f>
        <v>2877758.6673720162</v>
      </c>
      <c r="DU94" s="39">
        <f>DO94+Commerical!M94</f>
        <v>1955164.666060023</v>
      </c>
      <c r="DV94" s="243">
        <f>DP94+Commerical!N94</f>
        <v>2293194.863957791</v>
      </c>
      <c r="DW94" s="39"/>
      <c r="DX94" s="39"/>
      <c r="DY94" s="38"/>
      <c r="DZ94" s="38"/>
      <c r="EA94" s="546"/>
      <c r="EB94" s="38"/>
      <c r="EC94" s="38"/>
      <c r="ED94" s="38"/>
    </row>
    <row r="95" spans="1:134" ht="12.75">
      <c r="A95" s="88" t="s">
        <v>656</v>
      </c>
      <c r="B95" s="29">
        <f>SUM(Commerical!C90:H94)*1000/SUM(Commerical!I90:N94)</f>
        <v>5.634469904205791</v>
      </c>
      <c r="C95" s="41"/>
      <c r="E95" s="41"/>
      <c r="F95" s="41"/>
      <c r="G95" s="235"/>
      <c r="H95" s="41"/>
      <c r="I95" s="205"/>
      <c r="J95" s="205"/>
      <c r="K95" s="205"/>
      <c r="L95" s="618"/>
      <c r="M95" s="626"/>
      <c r="N95" s="205"/>
      <c r="O95" s="205"/>
      <c r="P95" s="205"/>
      <c r="Q95" s="205"/>
      <c r="R95" s="271"/>
      <c r="S95" s="205">
        <v>131919</v>
      </c>
      <c r="T95" s="205">
        <v>118373</v>
      </c>
      <c r="U95" s="205">
        <v>128367</v>
      </c>
      <c r="V95" s="397">
        <v>137547</v>
      </c>
      <c r="W95" s="397">
        <v>144098</v>
      </c>
      <c r="X95" s="216">
        <v>139572</v>
      </c>
      <c r="Y95" s="205">
        <v>34</v>
      </c>
      <c r="Z95" s="205">
        <v>45</v>
      </c>
      <c r="AA95" s="205">
        <v>73</v>
      </c>
      <c r="AB95" s="398">
        <v>369</v>
      </c>
      <c r="AC95" s="398">
        <v>192</v>
      </c>
      <c r="AD95" s="41">
        <v>219</v>
      </c>
      <c r="AE95" s="616"/>
      <c r="AF95" s="205"/>
      <c r="AG95" s="205"/>
      <c r="AH95" s="205"/>
      <c r="AI95" s="205"/>
      <c r="AJ95" s="216"/>
      <c r="AK95" s="205">
        <v>16</v>
      </c>
      <c r="AL95" s="205">
        <v>74</v>
      </c>
      <c r="AM95" s="400">
        <v>64</v>
      </c>
      <c r="AN95" s="400">
        <v>3</v>
      </c>
      <c r="AO95" s="400">
        <v>92</v>
      </c>
      <c r="AP95" s="498">
        <v>27</v>
      </c>
      <c r="AQ95" s="39">
        <v>4823</v>
      </c>
      <c r="AR95" s="39">
        <v>4493</v>
      </c>
      <c r="AS95" s="401">
        <v>4276</v>
      </c>
      <c r="AT95" s="401">
        <v>3889</v>
      </c>
      <c r="AU95" s="401">
        <v>3561</v>
      </c>
      <c r="AV95" s="235" t="s">
        <v>666</v>
      </c>
      <c r="AW95" s="41">
        <f t="shared" si="93"/>
        <v>139577.36649964208</v>
      </c>
      <c r="AX95" s="41">
        <f t="shared" si="75"/>
        <v>125628.13600572656</v>
      </c>
      <c r="AY95" s="41">
        <f t="shared" si="76"/>
        <v>135290.22190408016</v>
      </c>
      <c r="AZ95" s="41">
        <f t="shared" si="94"/>
        <v>144045.86399427344</v>
      </c>
      <c r="BA95" s="41">
        <f t="shared" si="95"/>
        <v>150065.14674302077</v>
      </c>
      <c r="BB95" s="237">
        <f t="shared" si="96"/>
        <v>144995.99642090194</v>
      </c>
      <c r="BC95" s="41">
        <f t="shared" si="97"/>
        <v>54613020.37543894</v>
      </c>
      <c r="BD95" s="41">
        <f t="shared" si="98"/>
        <v>49155046.57717376</v>
      </c>
      <c r="BE95" s="41">
        <f t="shared" si="99"/>
        <v>52935571.36617943</v>
      </c>
      <c r="BF95" s="41">
        <f t="shared" si="100"/>
        <v>56361428.0925492</v>
      </c>
      <c r="BG95" s="41">
        <f t="shared" si="101"/>
        <v>58716618.04667195</v>
      </c>
      <c r="BH95" s="237">
        <f t="shared" si="102"/>
        <v>56733190.383786865</v>
      </c>
      <c r="BI95" s="41"/>
      <c r="BJ95" s="41"/>
      <c r="BK95" s="41"/>
      <c r="BL95" s="286"/>
      <c r="BM95" s="286"/>
      <c r="BN95" s="216"/>
      <c r="BO95" s="205"/>
      <c r="BP95" s="205"/>
      <c r="BQ95" s="205"/>
      <c r="BR95" s="205"/>
      <c r="BS95" s="205"/>
      <c r="BT95" s="216"/>
      <c r="BU95" s="205">
        <v>1828</v>
      </c>
      <c r="BV95" s="205">
        <v>499</v>
      </c>
      <c r="BW95" s="205">
        <v>401</v>
      </c>
      <c r="BX95" s="400">
        <v>475</v>
      </c>
      <c r="BY95" s="400">
        <v>510</v>
      </c>
      <c r="BZ95" s="235">
        <v>52270</v>
      </c>
      <c r="CA95" s="41"/>
      <c r="CB95" s="41"/>
      <c r="CC95" s="205"/>
      <c r="CD95" s="205"/>
      <c r="CE95" s="400"/>
      <c r="CF95" s="216"/>
      <c r="CG95" s="205"/>
      <c r="CH95" s="205"/>
      <c r="CI95" s="39"/>
      <c r="CJ95" s="286"/>
      <c r="CK95" s="286"/>
      <c r="CL95" s="216"/>
      <c r="CM95" s="205">
        <v>282</v>
      </c>
      <c r="CN95" s="39">
        <v>100</v>
      </c>
      <c r="CO95" s="39">
        <v>78</v>
      </c>
      <c r="CP95" s="400">
        <v>75</v>
      </c>
      <c r="CQ95" s="400">
        <v>149</v>
      </c>
      <c r="CR95" s="282">
        <v>78</v>
      </c>
      <c r="CS95" s="41">
        <f t="shared" si="103"/>
        <v>2272.0944881889764</v>
      </c>
      <c r="CT95" s="41">
        <f t="shared" si="104"/>
        <v>656.4803149606299</v>
      </c>
      <c r="CU95" s="41">
        <f t="shared" si="105"/>
        <v>523.8346456692914</v>
      </c>
      <c r="CV95" s="41">
        <f t="shared" si="106"/>
        <v>593.1102362204724</v>
      </c>
      <c r="CW95" s="41">
        <f t="shared" si="107"/>
        <v>744.6456692913385</v>
      </c>
      <c r="CX95" s="237">
        <f t="shared" si="108"/>
        <v>52392.83464566929</v>
      </c>
      <c r="CY95" s="41">
        <f t="shared" si="109"/>
        <v>889011.9199856466</v>
      </c>
      <c r="CZ95" s="41">
        <f t="shared" si="110"/>
        <v>256863.80045801617</v>
      </c>
      <c r="DA95" s="41">
        <f t="shared" si="111"/>
        <v>204962.97426109706</v>
      </c>
      <c r="DB95" s="41">
        <f t="shared" si="112"/>
        <v>232068.72452112875</v>
      </c>
      <c r="DC95" s="41">
        <f t="shared" si="113"/>
        <v>291360.6276530122</v>
      </c>
      <c r="DD95" s="237">
        <f t="shared" si="114"/>
        <v>20499963.696035758</v>
      </c>
      <c r="DE95" s="39">
        <f t="shared" si="84"/>
        <v>137305.2720114531</v>
      </c>
      <c r="DF95" s="39">
        <f t="shared" si="115"/>
        <v>124971.65569076593</v>
      </c>
      <c r="DG95" s="39">
        <f t="shared" si="116"/>
        <v>134766.38725841086</v>
      </c>
      <c r="DH95" s="39">
        <f t="shared" si="117"/>
        <v>143452.75375805298</v>
      </c>
      <c r="DI95" s="39">
        <f t="shared" si="118"/>
        <v>149320.50107372942</v>
      </c>
      <c r="DJ95" s="243">
        <f t="shared" si="119"/>
        <v>92603.16177523264</v>
      </c>
      <c r="DK95" s="39">
        <f t="shared" si="119"/>
        <v>53724008.4554533</v>
      </c>
      <c r="DL95" s="39">
        <f t="shared" si="120"/>
        <v>48898182.77671575</v>
      </c>
      <c r="DM95" s="39">
        <f t="shared" si="121"/>
        <v>52730608.39191833</v>
      </c>
      <c r="DN95" s="39">
        <f t="shared" si="122"/>
        <v>56129359.36802807</v>
      </c>
      <c r="DO95" s="39">
        <f t="shared" si="123"/>
        <v>58425257.41901894</v>
      </c>
      <c r="DP95" s="243">
        <f t="shared" si="124"/>
        <v>36233226.68775111</v>
      </c>
      <c r="DQ95" s="39">
        <f>DK95+Commerical!I95</f>
        <v>53724008.4554533</v>
      </c>
      <c r="DR95" s="39">
        <f>DL95+Commerical!J95</f>
        <v>48898182.77671575</v>
      </c>
      <c r="DS95" s="39">
        <f>DM95+Commerical!K95</f>
        <v>52730608.39191833</v>
      </c>
      <c r="DT95" s="39">
        <f>DN95+Commerical!L95</f>
        <v>56129359.36802807</v>
      </c>
      <c r="DU95" s="39">
        <f>DO95+Commerical!M95</f>
        <v>58425257.41901894</v>
      </c>
      <c r="DV95" s="243">
        <f>DP95+Commerical!N95</f>
        <v>36233226.68775111</v>
      </c>
      <c r="DW95" s="39"/>
      <c r="DX95" s="39"/>
      <c r="DY95" s="38"/>
      <c r="DZ95" s="38"/>
      <c r="EA95" s="546"/>
      <c r="EB95" s="38"/>
      <c r="EC95" s="38"/>
      <c r="ED95" s="38"/>
    </row>
    <row r="96" spans="1:134" ht="12.75">
      <c r="A96" s="88" t="s">
        <v>637</v>
      </c>
      <c r="B96" s="29">
        <f>B95</f>
        <v>5.634469904205791</v>
      </c>
      <c r="C96" s="41">
        <v>783</v>
      </c>
      <c r="D96" s="397">
        <v>760</v>
      </c>
      <c r="E96" s="398">
        <v>735</v>
      </c>
      <c r="F96" s="398">
        <v>922</v>
      </c>
      <c r="G96" s="495">
        <v>1140</v>
      </c>
      <c r="H96" s="401"/>
      <c r="I96" s="205"/>
      <c r="J96" s="205"/>
      <c r="K96" s="205"/>
      <c r="L96" s="618"/>
      <c r="M96" s="626"/>
      <c r="N96" s="205"/>
      <c r="O96" s="205"/>
      <c r="P96" s="205"/>
      <c r="Q96" s="205"/>
      <c r="R96" s="271">
        <v>867</v>
      </c>
      <c r="S96" s="205"/>
      <c r="T96" s="205"/>
      <c r="U96" s="205"/>
      <c r="V96" s="205"/>
      <c r="W96" s="205"/>
      <c r="X96" s="216"/>
      <c r="Y96" s="205">
        <v>4274</v>
      </c>
      <c r="Z96" s="205">
        <v>4286</v>
      </c>
      <c r="AA96" s="205">
        <v>5744</v>
      </c>
      <c r="AB96" s="397">
        <v>6025</v>
      </c>
      <c r="AC96" s="397">
        <v>5984</v>
      </c>
      <c r="AD96" s="41">
        <v>5756</v>
      </c>
      <c r="AE96" s="616"/>
      <c r="AF96" s="205"/>
      <c r="AG96" s="205"/>
      <c r="AH96" s="205"/>
      <c r="AI96" s="205"/>
      <c r="AJ96" s="216"/>
      <c r="AK96" s="205"/>
      <c r="AL96" s="205"/>
      <c r="AM96" s="286"/>
      <c r="AN96" s="286"/>
      <c r="AO96" s="286"/>
      <c r="AP96" s="498"/>
      <c r="AQ96" s="39"/>
      <c r="AR96" s="39"/>
      <c r="AS96" s="286"/>
      <c r="AT96" s="286"/>
      <c r="AU96" s="286"/>
      <c r="AV96" s="235"/>
      <c r="AW96" s="41">
        <f t="shared" si="93"/>
        <v>5057</v>
      </c>
      <c r="AX96" s="41">
        <f t="shared" si="75"/>
        <v>5046</v>
      </c>
      <c r="AY96" s="41">
        <f t="shared" si="76"/>
        <v>6479</v>
      </c>
      <c r="AZ96" s="41">
        <f t="shared" si="94"/>
        <v>6947</v>
      </c>
      <c r="BA96" s="41">
        <f t="shared" si="95"/>
        <v>7124</v>
      </c>
      <c r="BB96" s="237">
        <f t="shared" si="96"/>
        <v>6623</v>
      </c>
      <c r="BC96" s="41">
        <f t="shared" si="97"/>
        <v>1978673.5554958542</v>
      </c>
      <c r="BD96" s="41">
        <f t="shared" si="98"/>
        <v>1974369.5394566108</v>
      </c>
      <c r="BE96" s="41">
        <f t="shared" si="99"/>
        <v>2535065.4471144234</v>
      </c>
      <c r="BF96" s="41">
        <f t="shared" si="100"/>
        <v>2718181.7658749656</v>
      </c>
      <c r="BG96" s="41">
        <f t="shared" si="101"/>
        <v>2787437.296688247</v>
      </c>
      <c r="BH96" s="237">
        <f t="shared" si="102"/>
        <v>2591408.929809975</v>
      </c>
      <c r="BI96" s="41">
        <v>3033</v>
      </c>
      <c r="BJ96" s="41">
        <v>7775</v>
      </c>
      <c r="BK96" s="41">
        <v>5483</v>
      </c>
      <c r="BL96" s="401">
        <v>21742</v>
      </c>
      <c r="BM96" s="401">
        <v>17084</v>
      </c>
      <c r="BN96" s="216">
        <v>3412</v>
      </c>
      <c r="BO96" s="205"/>
      <c r="BP96" s="205"/>
      <c r="BQ96" s="205"/>
      <c r="BR96" s="205"/>
      <c r="BS96" s="205"/>
      <c r="BT96" s="216"/>
      <c r="BU96" s="205">
        <v>4162</v>
      </c>
      <c r="BV96" s="205">
        <v>4329</v>
      </c>
      <c r="BW96" s="205">
        <v>4322</v>
      </c>
      <c r="BX96" s="401">
        <v>6199</v>
      </c>
      <c r="BY96" s="401">
        <v>3700</v>
      </c>
      <c r="BZ96" s="235"/>
      <c r="CA96" s="41"/>
      <c r="CB96" s="41"/>
      <c r="CC96" s="205"/>
      <c r="CD96" s="205"/>
      <c r="CE96" s="400"/>
      <c r="CF96" s="216"/>
      <c r="CG96" s="205"/>
      <c r="CH96" s="205"/>
      <c r="CI96" s="39"/>
      <c r="CJ96" s="286"/>
      <c r="CK96" s="286"/>
      <c r="CL96" s="498"/>
      <c r="CM96" s="39"/>
      <c r="CN96" s="286"/>
      <c r="CP96" s="205"/>
      <c r="CQ96" s="286"/>
      <c r="CR96" s="282"/>
      <c r="CS96" s="41">
        <f t="shared" si="103"/>
        <v>7195</v>
      </c>
      <c r="CT96" s="41">
        <f t="shared" si="104"/>
        <v>12104</v>
      </c>
      <c r="CU96" s="41">
        <f t="shared" si="105"/>
        <v>9805</v>
      </c>
      <c r="CV96" s="41">
        <f t="shared" si="106"/>
        <v>27941</v>
      </c>
      <c r="CW96" s="41">
        <f t="shared" si="107"/>
        <v>20784</v>
      </c>
      <c r="CX96" s="237">
        <f t="shared" si="108"/>
        <v>3412</v>
      </c>
      <c r="CY96" s="41">
        <f t="shared" si="109"/>
        <v>2815217.7638506372</v>
      </c>
      <c r="CZ96" s="41">
        <f t="shared" si="110"/>
        <v>4735982.739909397</v>
      </c>
      <c r="DA96" s="41">
        <f t="shared" si="111"/>
        <v>3836443.387707505</v>
      </c>
      <c r="DB96" s="41">
        <f t="shared" si="112"/>
        <v>10932592.013863886</v>
      </c>
      <c r="DC96" s="41">
        <f t="shared" si="113"/>
        <v>8132242.669057907</v>
      </c>
      <c r="DD96" s="237">
        <f t="shared" si="114"/>
        <v>1335027.5205362577</v>
      </c>
      <c r="DE96" s="39">
        <f t="shared" si="84"/>
        <v>-2138</v>
      </c>
      <c r="DF96" s="39">
        <f t="shared" si="115"/>
        <v>-7058</v>
      </c>
      <c r="DG96" s="39">
        <f t="shared" si="116"/>
        <v>-3326</v>
      </c>
      <c r="DH96" s="39">
        <f t="shared" si="117"/>
        <v>-20994</v>
      </c>
      <c r="DI96" s="39">
        <f t="shared" si="118"/>
        <v>-13660</v>
      </c>
      <c r="DJ96" s="243">
        <f t="shared" si="119"/>
        <v>3211</v>
      </c>
      <c r="DK96" s="39">
        <f t="shared" si="119"/>
        <v>-836544.208354783</v>
      </c>
      <c r="DL96" s="39">
        <f t="shared" si="120"/>
        <v>-2761613.200452787</v>
      </c>
      <c r="DM96" s="39">
        <f t="shared" si="121"/>
        <v>-1301377.9405930815</v>
      </c>
      <c r="DN96" s="39">
        <f t="shared" si="122"/>
        <v>-8214410.247988921</v>
      </c>
      <c r="DO96" s="39">
        <f t="shared" si="123"/>
        <v>-5344805.37236966</v>
      </c>
      <c r="DP96" s="243">
        <f t="shared" si="124"/>
        <v>1256381.4092737173</v>
      </c>
      <c r="DQ96" s="39">
        <f>DK96+Commerical!I96</f>
        <v>-836544.208354783</v>
      </c>
      <c r="DR96" s="39">
        <f>DL96+Commerical!J96</f>
        <v>-2761613.200452787</v>
      </c>
      <c r="DS96" s="39">
        <f>DM96+Commerical!K96</f>
        <v>-1301377.9405930815</v>
      </c>
      <c r="DT96" s="39">
        <f>DN96+Commerical!L96</f>
        <v>-8214410.247988921</v>
      </c>
      <c r="DU96" s="39">
        <f>DO96+Commerical!M96</f>
        <v>-5344805.37236966</v>
      </c>
      <c r="DV96" s="243">
        <f>DP96+Commerical!N96</f>
        <v>1256381.4092737173</v>
      </c>
      <c r="DW96" s="39"/>
      <c r="DX96" s="39"/>
      <c r="DY96" s="39"/>
      <c r="DZ96" s="38"/>
      <c r="EA96" s="547"/>
      <c r="EB96" s="39"/>
      <c r="EC96" s="38"/>
      <c r="ED96" s="38"/>
    </row>
    <row r="97" spans="1:134" ht="12.75">
      <c r="A97" s="88" t="s">
        <v>235</v>
      </c>
      <c r="B97" s="29">
        <f>Commerical!B97</f>
        <v>0.23152450638995292</v>
      </c>
      <c r="C97" s="41"/>
      <c r="E97" s="41"/>
      <c r="F97" s="41"/>
      <c r="G97" s="235"/>
      <c r="H97" s="41"/>
      <c r="I97" s="205"/>
      <c r="J97" s="205"/>
      <c r="K97" s="205"/>
      <c r="L97" s="618"/>
      <c r="M97" s="626"/>
      <c r="N97" s="205"/>
      <c r="O97" s="205"/>
      <c r="P97" s="205"/>
      <c r="Q97" s="205"/>
      <c r="R97" s="271"/>
      <c r="S97" s="205"/>
      <c r="T97" s="205"/>
      <c r="U97" s="205"/>
      <c r="V97" s="205"/>
      <c r="W97" s="205"/>
      <c r="X97" s="216"/>
      <c r="Y97" s="205"/>
      <c r="Z97" s="205"/>
      <c r="AA97" s="205"/>
      <c r="AB97" s="205"/>
      <c r="AC97" s="38"/>
      <c r="AD97" s="41"/>
      <c r="AE97" s="616"/>
      <c r="AF97" s="205"/>
      <c r="AG97" s="205"/>
      <c r="AH97" s="205"/>
      <c r="AI97" s="205"/>
      <c r="AJ97" s="216"/>
      <c r="AK97" s="205"/>
      <c r="AL97" s="205"/>
      <c r="AM97" s="41"/>
      <c r="AN97" s="41"/>
      <c r="AO97" s="41"/>
      <c r="AP97" s="498"/>
      <c r="AQ97" s="39"/>
      <c r="AR97" s="39"/>
      <c r="AS97" s="205"/>
      <c r="AT97" s="205"/>
      <c r="AU97" s="205"/>
      <c r="AV97" s="235"/>
      <c r="AW97" s="41"/>
      <c r="AX97" s="41"/>
      <c r="AY97" s="41"/>
      <c r="AZ97" s="41"/>
      <c r="BA97" s="41"/>
      <c r="BB97" s="237"/>
      <c r="BC97" s="41"/>
      <c r="BD97" s="41"/>
      <c r="BE97" s="210"/>
      <c r="BF97" s="41"/>
      <c r="BG97" s="41"/>
      <c r="BH97" s="224"/>
      <c r="BI97" s="210"/>
      <c r="BJ97" s="210"/>
      <c r="BK97" s="41"/>
      <c r="BL97" s="286"/>
      <c r="BM97" s="286"/>
      <c r="BN97" s="216"/>
      <c r="BO97" s="205"/>
      <c r="BP97" s="205"/>
      <c r="BQ97" s="205"/>
      <c r="BR97" s="205"/>
      <c r="BS97" s="205"/>
      <c r="BT97" s="216"/>
      <c r="BU97" s="205"/>
      <c r="BV97" s="205"/>
      <c r="BW97" s="205"/>
      <c r="BX97" s="205"/>
      <c r="BY97" s="205"/>
      <c r="BZ97" s="235"/>
      <c r="CA97" s="41"/>
      <c r="CB97" s="41"/>
      <c r="CC97" s="205"/>
      <c r="CD97" s="205"/>
      <c r="CE97" s="400"/>
      <c r="CF97" s="216"/>
      <c r="CG97" s="205"/>
      <c r="CH97" s="205"/>
      <c r="CI97" s="39"/>
      <c r="CJ97" s="286"/>
      <c r="CK97" s="286"/>
      <c r="CL97" s="498"/>
      <c r="CM97" s="39"/>
      <c r="CQ97" s="205"/>
      <c r="CR97" s="282"/>
      <c r="CS97" s="205"/>
      <c r="CT97" s="41"/>
      <c r="CU97" s="41"/>
      <c r="CV97" s="41"/>
      <c r="CW97" s="41"/>
      <c r="CX97" s="237"/>
      <c r="CY97" s="41"/>
      <c r="CZ97" s="41"/>
      <c r="DA97" s="39"/>
      <c r="DB97" s="41"/>
      <c r="DC97" s="41"/>
      <c r="DD97" s="224"/>
      <c r="DE97" s="210"/>
      <c r="DF97" s="39"/>
      <c r="DG97" s="39"/>
      <c r="DH97" s="39"/>
      <c r="DI97" s="39"/>
      <c r="DJ97" s="243"/>
      <c r="DK97" s="39"/>
      <c r="DL97" s="39"/>
      <c r="DM97" s="39"/>
      <c r="DN97" s="39"/>
      <c r="DO97" s="39"/>
      <c r="DP97" s="243"/>
      <c r="DQ97" s="39">
        <f>DK97+Commerical!I97</f>
        <v>441564487.46643966</v>
      </c>
      <c r="DR97" s="213">
        <f>DL97+Commerical!J97</f>
        <v>631924465.7132719</v>
      </c>
      <c r="DS97" s="39">
        <f>DM97+Commerical!K97</f>
        <v>632174979.1509393</v>
      </c>
      <c r="DT97" s="39">
        <f>DN97+Commerical!L97</f>
        <v>824582256.8711225</v>
      </c>
      <c r="DU97" s="39">
        <f>DO97+Commerical!M97</f>
        <v>1204408139.5441463</v>
      </c>
      <c r="DV97" s="243">
        <f>DP97+Commerical!N97</f>
        <v>824634087.2375364</v>
      </c>
      <c r="DW97" s="138"/>
      <c r="DX97" s="39"/>
      <c r="DY97" s="38"/>
      <c r="DZ97" s="38"/>
      <c r="EA97" s="546"/>
      <c r="EB97" s="38"/>
      <c r="EC97" s="38"/>
      <c r="ED97" s="38"/>
    </row>
    <row r="98" spans="1:134" ht="13.5">
      <c r="A98" s="88" t="s">
        <v>236</v>
      </c>
      <c r="B98" s="29">
        <f>Commerical!B98</f>
        <v>0.20003265141328627</v>
      </c>
      <c r="C98" s="41"/>
      <c r="E98" s="395"/>
      <c r="F98" s="395"/>
      <c r="G98" s="496"/>
      <c r="H98" s="407"/>
      <c r="I98" s="205"/>
      <c r="J98" s="205"/>
      <c r="K98" s="205"/>
      <c r="L98" s="618"/>
      <c r="M98" s="626"/>
      <c r="N98" s="205"/>
      <c r="O98" s="205"/>
      <c r="P98" s="205"/>
      <c r="Q98" s="205"/>
      <c r="R98" s="271"/>
      <c r="S98" s="205"/>
      <c r="T98" s="205"/>
      <c r="U98" s="205"/>
      <c r="V98" s="205"/>
      <c r="W98" s="205"/>
      <c r="X98" s="216"/>
      <c r="Y98" s="205"/>
      <c r="Z98" s="205"/>
      <c r="AA98" s="205"/>
      <c r="AB98" s="205"/>
      <c r="AC98" s="38"/>
      <c r="AD98" s="41"/>
      <c r="AE98" s="616"/>
      <c r="AF98" s="205"/>
      <c r="AG98" s="205"/>
      <c r="AH98" s="205"/>
      <c r="AI98" s="205"/>
      <c r="AJ98" s="216"/>
      <c r="AK98" s="205"/>
      <c r="AL98" s="205"/>
      <c r="AM98" s="41"/>
      <c r="AN98" s="41"/>
      <c r="AO98" s="41"/>
      <c r="AP98" s="498"/>
      <c r="AQ98" s="39"/>
      <c r="AR98" s="39"/>
      <c r="AS98" s="205"/>
      <c r="AT98" s="205"/>
      <c r="AU98" s="205"/>
      <c r="AV98" s="235"/>
      <c r="AW98" s="41"/>
      <c r="AX98" s="41"/>
      <c r="AY98" s="41"/>
      <c r="AZ98" s="41"/>
      <c r="BA98" s="41"/>
      <c r="BB98" s="237"/>
      <c r="BC98" s="41"/>
      <c r="BD98" s="41"/>
      <c r="BE98" s="210"/>
      <c r="BF98" s="41"/>
      <c r="BG98" s="41"/>
      <c r="BH98" s="224"/>
      <c r="BI98" s="210"/>
      <c r="BJ98" s="210"/>
      <c r="BK98" s="41"/>
      <c r="BL98" s="286"/>
      <c r="BM98" s="41"/>
      <c r="BN98" s="216"/>
      <c r="BO98" s="205"/>
      <c r="BP98" s="205"/>
      <c r="BQ98" s="205"/>
      <c r="BR98" s="205"/>
      <c r="BS98" s="205"/>
      <c r="BT98" s="216"/>
      <c r="BU98" s="205"/>
      <c r="BV98" s="205"/>
      <c r="BW98" s="205"/>
      <c r="BX98" s="205"/>
      <c r="BY98" s="205"/>
      <c r="BZ98" s="235"/>
      <c r="CA98" s="41"/>
      <c r="CB98" s="41"/>
      <c r="CC98" s="205"/>
      <c r="CD98" s="205"/>
      <c r="CE98" s="400"/>
      <c r="CF98" s="216"/>
      <c r="CG98" s="205"/>
      <c r="CH98" s="205"/>
      <c r="CI98" s="39"/>
      <c r="CJ98" s="286"/>
      <c r="CK98" s="286"/>
      <c r="CL98" s="498"/>
      <c r="CM98" s="39"/>
      <c r="CN98" s="39"/>
      <c r="CO98" s="39"/>
      <c r="CP98" s="205"/>
      <c r="CQ98" s="205"/>
      <c r="CR98" s="282"/>
      <c r="CS98" s="205"/>
      <c r="CT98" s="41"/>
      <c r="CU98" s="41"/>
      <c r="CV98" s="41"/>
      <c r="CW98" s="41"/>
      <c r="CX98" s="237"/>
      <c r="CY98" s="41"/>
      <c r="CZ98" s="41"/>
      <c r="DA98" s="39"/>
      <c r="DB98" s="41"/>
      <c r="DC98" s="41"/>
      <c r="DD98" s="224"/>
      <c r="DE98" s="210"/>
      <c r="DF98" s="39"/>
      <c r="DG98" s="39"/>
      <c r="DH98" s="39"/>
      <c r="DI98" s="39"/>
      <c r="DJ98" s="243"/>
      <c r="DK98" s="39"/>
      <c r="DL98" s="39"/>
      <c r="DM98" s="39"/>
      <c r="DN98" s="39"/>
      <c r="DO98" s="39"/>
      <c r="DP98" s="243"/>
      <c r="DQ98" s="39">
        <f>DK98+Commerical!I98</f>
        <v>12218005.324293112</v>
      </c>
      <c r="DR98" s="39">
        <f>DL98+Commerical!J98</f>
        <v>10083353.821235355</v>
      </c>
      <c r="DS98" s="39">
        <f>DM98+Commerical!K98</f>
        <v>6998857.387074615</v>
      </c>
      <c r="DT98" s="39">
        <f>DN98+Commerical!L98</f>
        <v>10833231.39842192</v>
      </c>
      <c r="DU98" s="39">
        <f>DO98+Commerical!M98</f>
        <v>6888875.342420585</v>
      </c>
      <c r="DV98" s="243">
        <f>DP98+Commerical!N98</f>
        <v>11253162.8416464</v>
      </c>
      <c r="DW98" s="138"/>
      <c r="DX98" s="39"/>
      <c r="DY98" s="38"/>
      <c r="DZ98" s="38"/>
      <c r="EA98" s="546"/>
      <c r="EB98" s="38"/>
      <c r="EC98" s="38"/>
      <c r="ED98" s="38"/>
    </row>
    <row r="99" spans="1:134" ht="13.5">
      <c r="A99" s="88" t="s">
        <v>634</v>
      </c>
      <c r="B99" s="29">
        <f>SUM(Commerical!C97:H98)*1000/SUM(Commerical!I97:N98)</f>
        <v>0.23112706670176644</v>
      </c>
      <c r="C99" s="41">
        <v>4921</v>
      </c>
      <c r="D99" s="41">
        <v>4898</v>
      </c>
      <c r="E99" s="397">
        <v>4516</v>
      </c>
      <c r="F99" s="397">
        <v>3734</v>
      </c>
      <c r="G99" s="495">
        <v>1202</v>
      </c>
      <c r="H99" s="401"/>
      <c r="I99" s="205"/>
      <c r="J99" s="205"/>
      <c r="K99" s="205"/>
      <c r="L99" s="618"/>
      <c r="M99" s="626"/>
      <c r="N99" s="205"/>
      <c r="O99" s="205"/>
      <c r="P99" s="205"/>
      <c r="Q99" s="205"/>
      <c r="R99" s="271">
        <v>1772</v>
      </c>
      <c r="S99" s="205"/>
      <c r="T99" s="205"/>
      <c r="U99" s="205"/>
      <c r="V99" s="205"/>
      <c r="W99" s="205"/>
      <c r="X99" s="216"/>
      <c r="Y99" s="205">
        <v>29560</v>
      </c>
      <c r="Z99" s="205">
        <v>28286</v>
      </c>
      <c r="AA99" s="205">
        <v>28048</v>
      </c>
      <c r="AB99" s="397">
        <v>25370</v>
      </c>
      <c r="AC99" s="397">
        <v>23409</v>
      </c>
      <c r="AD99" s="41">
        <v>22792</v>
      </c>
      <c r="AE99" s="616"/>
      <c r="AF99" s="205"/>
      <c r="AG99" s="205"/>
      <c r="AH99" s="205"/>
      <c r="AI99" s="205"/>
      <c r="AJ99" s="216"/>
      <c r="AK99" s="205"/>
      <c r="AL99" s="205"/>
      <c r="AM99" s="41"/>
      <c r="AN99" s="41"/>
      <c r="AO99" s="41"/>
      <c r="AP99" s="498"/>
      <c r="AQ99" s="39"/>
      <c r="AR99" s="39"/>
      <c r="AS99" s="205"/>
      <c r="AT99" s="205"/>
      <c r="AU99" s="205"/>
      <c r="AV99" s="235"/>
      <c r="AW99" s="41">
        <f>(C99+H99+M99+S99+Y99+(AE99/0.212)+(AK99/0.55)+(AQ99/0.635))</f>
        <v>34481</v>
      </c>
      <c r="AX99" s="41">
        <f t="shared" si="75"/>
        <v>33184</v>
      </c>
      <c r="AY99" s="41">
        <f t="shared" si="76"/>
        <v>32564</v>
      </c>
      <c r="AZ99" s="41">
        <f>(F99+K99+P99+V99+AB99+(AH99/0.212)+(AN99/0.55)+(AT99/0.635))</f>
        <v>29104</v>
      </c>
      <c r="BA99" s="41">
        <f>(G99+L99+Q99+W99+AC99+(AI99/0.212)+(AO99/0.55)+(AU99/0.635))</f>
        <v>24611</v>
      </c>
      <c r="BB99" s="237">
        <f>(R99+X99+AD99+(AJ99/0.212)+(AP99/0.55)+(AV99/0.635))</f>
        <v>24564</v>
      </c>
      <c r="BC99" s="41">
        <f>AW99*1000/0.45359237/$B99</f>
        <v>328899569.00658685</v>
      </c>
      <c r="BD99" s="41">
        <f>AX99*1000/0.45359237/$B99</f>
        <v>316528038.5694898</v>
      </c>
      <c r="BE99" s="41">
        <f aca="true" t="shared" si="125" ref="BE99:BH100">AY99*1000/0.45359237/$B99</f>
        <v>310614122.7090425</v>
      </c>
      <c r="BF99" s="41">
        <f t="shared" si="125"/>
        <v>277610656.7781591</v>
      </c>
      <c r="BG99" s="41">
        <f t="shared" si="125"/>
        <v>234753843.937853</v>
      </c>
      <c r="BH99" s="237">
        <f t="shared" si="125"/>
        <v>234305530.9613352</v>
      </c>
      <c r="BI99" s="41">
        <v>37095</v>
      </c>
      <c r="BJ99" s="41">
        <v>39585</v>
      </c>
      <c r="BK99" s="41">
        <v>47280</v>
      </c>
      <c r="BL99" s="401">
        <v>61699</v>
      </c>
      <c r="BM99" s="401">
        <v>98237</v>
      </c>
      <c r="BN99" s="216">
        <v>61813</v>
      </c>
      <c r="BO99" s="205"/>
      <c r="BP99" s="205"/>
      <c r="BQ99" s="205"/>
      <c r="BR99" s="205"/>
      <c r="BS99" s="205"/>
      <c r="BT99" s="216"/>
      <c r="BU99" s="205">
        <v>4333</v>
      </c>
      <c r="BV99" s="205">
        <v>20092</v>
      </c>
      <c r="BW99" s="205">
        <v>14752</v>
      </c>
      <c r="BX99" s="401">
        <v>15081</v>
      </c>
      <c r="BY99" s="401">
        <v>13617</v>
      </c>
      <c r="BZ99" s="235"/>
      <c r="CA99" s="41"/>
      <c r="CB99" s="41"/>
      <c r="CC99" s="205"/>
      <c r="CD99" s="205"/>
      <c r="CE99" s="400"/>
      <c r="CF99" s="216"/>
      <c r="CG99" s="205"/>
      <c r="CH99" s="205"/>
      <c r="CI99" s="39"/>
      <c r="CJ99" s="286"/>
      <c r="CK99" s="286"/>
      <c r="CL99" s="498"/>
      <c r="CM99" s="39"/>
      <c r="CN99" s="39"/>
      <c r="CO99" s="39"/>
      <c r="CP99" s="205"/>
      <c r="CQ99" s="205"/>
      <c r="CR99" s="282"/>
      <c r="CS99" s="41">
        <f aca="true" t="shared" si="126" ref="CS99:CX99">(BI99+BO99+BU99+(CA99/0.212)+(CG99/0.55)+(CM99/0.635))</f>
        <v>41428</v>
      </c>
      <c r="CT99" s="41">
        <f t="shared" si="126"/>
        <v>59677</v>
      </c>
      <c r="CU99" s="41">
        <f t="shared" si="126"/>
        <v>62032</v>
      </c>
      <c r="CV99" s="41">
        <f t="shared" si="126"/>
        <v>76780</v>
      </c>
      <c r="CW99" s="41">
        <f t="shared" si="126"/>
        <v>111854</v>
      </c>
      <c r="CX99" s="237">
        <f t="shared" si="126"/>
        <v>61813</v>
      </c>
      <c r="CY99" s="41">
        <f aca="true" t="shared" si="127" ref="CY99:DD99">CS99*1000/0.45359237/$B99</f>
        <v>395164042.3655022</v>
      </c>
      <c r="CZ99" s="41">
        <f t="shared" si="127"/>
        <v>569233478.7159909</v>
      </c>
      <c r="DA99" s="41">
        <f t="shared" si="127"/>
        <v>591696820.4117223</v>
      </c>
      <c r="DB99" s="41">
        <f t="shared" si="127"/>
        <v>732371709.2986206</v>
      </c>
      <c r="DC99" s="41">
        <f t="shared" si="127"/>
        <v>1066927652.6685063</v>
      </c>
      <c r="DD99" s="237">
        <f t="shared" si="127"/>
        <v>589607872.7126287</v>
      </c>
      <c r="DE99" s="39">
        <f aca="true" t="shared" si="128" ref="DE99:DP101">AW99-CS99</f>
        <v>-6947</v>
      </c>
      <c r="DF99" s="39">
        <f t="shared" si="128"/>
        <v>-26493</v>
      </c>
      <c r="DG99" s="39">
        <f t="shared" si="128"/>
        <v>-29468</v>
      </c>
      <c r="DH99" s="39">
        <f t="shared" si="128"/>
        <v>-47676</v>
      </c>
      <c r="DI99" s="39">
        <f t="shared" si="128"/>
        <v>-87243</v>
      </c>
      <c r="DJ99" s="243">
        <f t="shared" si="128"/>
        <v>-37249</v>
      </c>
      <c r="DK99" s="39">
        <f t="shared" si="128"/>
        <v>-66264473.35891533</v>
      </c>
      <c r="DL99" s="39">
        <f t="shared" si="128"/>
        <v>-252705440.14650112</v>
      </c>
      <c r="DM99" s="39">
        <f t="shared" si="128"/>
        <v>-281082697.7026798</v>
      </c>
      <c r="DN99" s="39">
        <f t="shared" si="128"/>
        <v>-454761052.5204615</v>
      </c>
      <c r="DO99" s="39">
        <f t="shared" si="128"/>
        <v>-832173808.7306533</v>
      </c>
      <c r="DP99" s="243">
        <f t="shared" si="128"/>
        <v>-355302341.75129354</v>
      </c>
      <c r="DQ99" s="39">
        <f>DK99+Commerical!I99</f>
        <v>-66264473.35891533</v>
      </c>
      <c r="DR99" s="520">
        <f>DL99+Commerical!J99</f>
        <v>-252705440.14650112</v>
      </c>
      <c r="DS99" s="39">
        <f>DM99+Commerical!K99</f>
        <v>-281082697.7026798</v>
      </c>
      <c r="DT99" s="39">
        <f>DN99+Commerical!L99</f>
        <v>-454761052.5204615</v>
      </c>
      <c r="DU99" s="39">
        <f>DO99+Commerical!M99</f>
        <v>-832173808.7306533</v>
      </c>
      <c r="DV99" s="243">
        <f>DP99+Commerical!N99</f>
        <v>-355302341.75129354</v>
      </c>
      <c r="DW99" s="138"/>
      <c r="DX99" s="39"/>
      <c r="DY99" s="39"/>
      <c r="DZ99" s="38"/>
      <c r="EA99" s="547"/>
      <c r="EB99" s="39"/>
      <c r="EC99" s="38"/>
      <c r="ED99" s="38"/>
    </row>
    <row r="100" spans="1:134" ht="12.75">
      <c r="A100" s="88" t="s">
        <v>696</v>
      </c>
      <c r="B100" s="29">
        <f>Commerical!B100</f>
        <v>0.875</v>
      </c>
      <c r="C100" s="41"/>
      <c r="D100" s="397">
        <v>0</v>
      </c>
      <c r="E100" s="398">
        <v>1</v>
      </c>
      <c r="F100" s="398">
        <v>1</v>
      </c>
      <c r="G100" s="494">
        <v>0</v>
      </c>
      <c r="H100" s="401">
        <v>1</v>
      </c>
      <c r="I100" s="205">
        <v>0</v>
      </c>
      <c r="J100" s="205">
        <v>0</v>
      </c>
      <c r="K100" s="205">
        <v>0</v>
      </c>
      <c r="L100" s="618"/>
      <c r="M100" s="626"/>
      <c r="N100" s="205"/>
      <c r="O100" s="205"/>
      <c r="P100" s="205"/>
      <c r="Q100" s="205"/>
      <c r="R100" s="271"/>
      <c r="S100" s="205">
        <v>74</v>
      </c>
      <c r="T100" s="205">
        <v>65</v>
      </c>
      <c r="U100" s="205">
        <v>86</v>
      </c>
      <c r="V100" s="398">
        <v>75</v>
      </c>
      <c r="W100" s="398">
        <v>89</v>
      </c>
      <c r="X100" s="216">
        <v>28</v>
      </c>
      <c r="Y100" s="205"/>
      <c r="Z100" s="205"/>
      <c r="AA100" s="205"/>
      <c r="AB100" s="205"/>
      <c r="AC100" s="38"/>
      <c r="AD100" s="41"/>
      <c r="AE100" s="616"/>
      <c r="AF100" s="205"/>
      <c r="AG100" s="205"/>
      <c r="AH100" s="205"/>
      <c r="AI100" s="205"/>
      <c r="AJ100" s="216"/>
      <c r="AK100" s="205"/>
      <c r="AL100" s="205"/>
      <c r="AM100" s="41"/>
      <c r="AN100" s="41"/>
      <c r="AO100" s="41"/>
      <c r="AP100" s="498"/>
      <c r="AQ100" s="39"/>
      <c r="AR100" s="39"/>
      <c r="AS100" s="205"/>
      <c r="AT100" s="205"/>
      <c r="AU100" s="205"/>
      <c r="AV100" s="235"/>
      <c r="AW100" s="41">
        <f>(C100+H100+M100+S100+Y100+(AE100/0.212)+(AK100/0.55)+(AQ100/0.635))</f>
        <v>75</v>
      </c>
      <c r="AX100" s="41">
        <f t="shared" si="75"/>
        <v>65</v>
      </c>
      <c r="AY100" s="41">
        <f t="shared" si="76"/>
        <v>87</v>
      </c>
      <c r="AZ100" s="41">
        <f>(F100+K100+P100+V100+AB100+(AH100/0.212)+(AN100/0.55)+(AT100/0.635))</f>
        <v>76</v>
      </c>
      <c r="BA100" s="41">
        <f>(G100+L100+Q100+W100+AC100+(AI100/0.212)+(AO100/0.55)+(AU100/0.635))</f>
        <v>89</v>
      </c>
      <c r="BB100" s="237">
        <f>(R100+X100+AD100+(AJ100/0.212)+(AP100/0.55)+(AV100/0.635))</f>
        <v>28</v>
      </c>
      <c r="BC100" s="41">
        <f>AW100*1000/0.45359237/$B100</f>
        <v>188967.65330132362</v>
      </c>
      <c r="BD100" s="41">
        <f>AX100*1000/0.45359237/$B100</f>
        <v>163771.96619448048</v>
      </c>
      <c r="BE100" s="41">
        <f t="shared" si="125"/>
        <v>219202.47782953543</v>
      </c>
      <c r="BF100" s="41">
        <f t="shared" si="125"/>
        <v>191487.22201200793</v>
      </c>
      <c r="BG100" s="41">
        <f t="shared" si="125"/>
        <v>224241.61525090405</v>
      </c>
      <c r="BH100" s="237">
        <f t="shared" si="125"/>
        <v>70547.92389916083</v>
      </c>
      <c r="BI100" s="41"/>
      <c r="BJ100" s="41"/>
      <c r="BK100" s="41"/>
      <c r="BL100" s="286"/>
      <c r="BM100" s="41"/>
      <c r="BN100" s="216"/>
      <c r="BO100" s="205"/>
      <c r="BP100" s="205"/>
      <c r="BQ100" s="205"/>
      <c r="BR100" s="205"/>
      <c r="BS100" s="205"/>
      <c r="BT100" s="216"/>
      <c r="BU100" s="205"/>
      <c r="BV100" s="205"/>
      <c r="BW100" s="205"/>
      <c r="BX100" s="205"/>
      <c r="BY100" s="205"/>
      <c r="BZ100" s="235"/>
      <c r="CA100" s="41"/>
      <c r="CB100" s="41"/>
      <c r="CC100" s="205"/>
      <c r="CD100" s="205"/>
      <c r="CE100" s="400"/>
      <c r="CF100" s="216"/>
      <c r="CG100" s="205"/>
      <c r="CH100" s="205"/>
      <c r="CI100" s="39"/>
      <c r="CJ100" s="286"/>
      <c r="CK100" s="286"/>
      <c r="CL100" s="498"/>
      <c r="CM100" s="39"/>
      <c r="CN100" s="39"/>
      <c r="CO100" s="39"/>
      <c r="CP100" s="205"/>
      <c r="CQ100" s="205"/>
      <c r="CR100" s="282"/>
      <c r="CS100" s="41"/>
      <c r="CT100" s="41"/>
      <c r="CU100" s="41"/>
      <c r="CV100" s="41"/>
      <c r="CW100" s="41"/>
      <c r="CX100" s="237"/>
      <c r="CY100" s="41"/>
      <c r="CZ100" s="41"/>
      <c r="DA100" s="39"/>
      <c r="DB100" s="41"/>
      <c r="DC100" s="41"/>
      <c r="DD100" s="237"/>
      <c r="DE100" s="39">
        <f t="shared" si="128"/>
        <v>75</v>
      </c>
      <c r="DF100" s="39">
        <f t="shared" si="128"/>
        <v>65</v>
      </c>
      <c r="DG100" s="39">
        <f t="shared" si="128"/>
        <v>87</v>
      </c>
      <c r="DH100" s="39">
        <f t="shared" si="128"/>
        <v>76</v>
      </c>
      <c r="DI100" s="39">
        <f t="shared" si="128"/>
        <v>89</v>
      </c>
      <c r="DJ100" s="243">
        <f t="shared" si="128"/>
        <v>28</v>
      </c>
      <c r="DK100" s="39">
        <f t="shared" si="128"/>
        <v>188967.65330132362</v>
      </c>
      <c r="DL100" s="39">
        <f t="shared" si="128"/>
        <v>163771.96619448048</v>
      </c>
      <c r="DM100" s="39">
        <f t="shared" si="128"/>
        <v>219202.47782953543</v>
      </c>
      <c r="DN100" s="39">
        <f t="shared" si="128"/>
        <v>191487.22201200793</v>
      </c>
      <c r="DO100" s="39">
        <f t="shared" si="128"/>
        <v>224241.61525090405</v>
      </c>
      <c r="DP100" s="243">
        <f t="shared" si="128"/>
        <v>70547.92389916083</v>
      </c>
      <c r="DQ100" s="39">
        <f>DK100+Commerical!I100</f>
        <v>188967.65330132362</v>
      </c>
      <c r="DR100" s="39">
        <f>DL100+Commerical!J100</f>
        <v>163771.96619448048</v>
      </c>
      <c r="DS100" s="39">
        <f>DM100+Commerical!K100</f>
        <v>219202.47782953543</v>
      </c>
      <c r="DT100" s="39">
        <f>DN100+Commerical!L100</f>
        <v>191487.22201200793</v>
      </c>
      <c r="DU100" s="39">
        <f>DO100+Commerical!M100</f>
        <v>224241.61525090405</v>
      </c>
      <c r="DV100" s="243">
        <f>DP100+Commerical!N100</f>
        <v>70547.92389916083</v>
      </c>
      <c r="DW100" s="39"/>
      <c r="DX100" s="39"/>
      <c r="DY100" s="38"/>
      <c r="DZ100" s="38"/>
      <c r="EA100" s="546"/>
      <c r="EB100" s="38"/>
      <c r="EC100" s="38"/>
      <c r="ED100" s="38"/>
    </row>
    <row r="101" spans="1:134" ht="12.75">
      <c r="A101" s="88" t="s">
        <v>762</v>
      </c>
      <c r="B101" s="29">
        <f>Commerical!B101</f>
        <v>9.35</v>
      </c>
      <c r="C101" s="41"/>
      <c r="E101" s="398"/>
      <c r="F101" s="398"/>
      <c r="G101" s="494"/>
      <c r="H101" s="401"/>
      <c r="I101" s="205"/>
      <c r="J101" s="205"/>
      <c r="K101" s="205"/>
      <c r="L101" s="618"/>
      <c r="M101" s="626"/>
      <c r="N101" s="205"/>
      <c r="O101" s="205"/>
      <c r="P101" s="205"/>
      <c r="Q101" s="205"/>
      <c r="R101" s="271"/>
      <c r="S101" s="205"/>
      <c r="T101" s="205"/>
      <c r="U101" s="205"/>
      <c r="V101" s="398"/>
      <c r="W101" s="398"/>
      <c r="X101" s="216"/>
      <c r="Y101" s="205"/>
      <c r="Z101" s="205"/>
      <c r="AA101" s="205"/>
      <c r="AB101" s="205"/>
      <c r="AC101" s="38"/>
      <c r="AD101" s="41"/>
      <c r="AE101" s="616"/>
      <c r="AF101" s="205"/>
      <c r="AG101" s="205"/>
      <c r="AH101" s="205"/>
      <c r="AI101" s="205"/>
      <c r="AJ101" s="216"/>
      <c r="AK101" s="205"/>
      <c r="AL101" s="205"/>
      <c r="AM101" s="41"/>
      <c r="AN101" s="41"/>
      <c r="AO101" s="41"/>
      <c r="AP101" s="498"/>
      <c r="AQ101" s="39"/>
      <c r="AR101" s="39"/>
      <c r="AS101" s="205"/>
      <c r="AT101" s="205"/>
      <c r="AU101" s="205"/>
      <c r="AV101" s="235"/>
      <c r="AW101" s="41"/>
      <c r="AX101" s="41"/>
      <c r="AY101" s="41"/>
      <c r="AZ101" s="41"/>
      <c r="BA101" s="41"/>
      <c r="BB101" s="237"/>
      <c r="BC101" s="41"/>
      <c r="BD101" s="41"/>
      <c r="BE101" s="210"/>
      <c r="BF101" s="41"/>
      <c r="BG101" s="41"/>
      <c r="BH101" s="237"/>
      <c r="BI101" s="41">
        <v>11648</v>
      </c>
      <c r="BJ101" s="41">
        <v>3938</v>
      </c>
      <c r="BK101" s="41">
        <v>2722</v>
      </c>
      <c r="BL101" s="401">
        <v>3125</v>
      </c>
      <c r="BM101" s="401">
        <v>1569</v>
      </c>
      <c r="BN101" s="216"/>
      <c r="BO101" s="205"/>
      <c r="BP101" s="205"/>
      <c r="BQ101" s="205"/>
      <c r="BR101" s="205"/>
      <c r="BS101" s="205"/>
      <c r="BT101" s="216"/>
      <c r="BU101" s="205"/>
      <c r="BV101" s="205"/>
      <c r="BW101" s="205"/>
      <c r="BX101" s="205"/>
      <c r="BY101" s="205"/>
      <c r="BZ101" s="235"/>
      <c r="CA101" s="41"/>
      <c r="CB101" s="41"/>
      <c r="CC101" s="205"/>
      <c r="CD101" s="205"/>
      <c r="CE101" s="400"/>
      <c r="CF101" s="216"/>
      <c r="CG101" s="205"/>
      <c r="CH101" s="205"/>
      <c r="CI101" s="39"/>
      <c r="CJ101" s="286"/>
      <c r="CK101" s="286"/>
      <c r="CL101" s="498"/>
      <c r="CM101" s="39"/>
      <c r="CN101" s="39"/>
      <c r="CO101" s="39"/>
      <c r="CP101" s="205"/>
      <c r="CQ101" s="205"/>
      <c r="CR101" s="282"/>
      <c r="CS101" s="41">
        <f aca="true" t="shared" si="129" ref="CS101:CX101">(BI101+BO101+BU101+(CA101/0.212)+(CG101/0.55)+(CM101/0.635))</f>
        <v>11648</v>
      </c>
      <c r="CT101" s="41">
        <f t="shared" si="129"/>
        <v>3938</v>
      </c>
      <c r="CU101" s="41">
        <f t="shared" si="129"/>
        <v>2722</v>
      </c>
      <c r="CV101" s="41">
        <f t="shared" si="129"/>
        <v>3125</v>
      </c>
      <c r="CW101" s="41">
        <f t="shared" si="129"/>
        <v>1569</v>
      </c>
      <c r="CX101" s="237">
        <f t="shared" si="129"/>
        <v>0</v>
      </c>
      <c r="CY101" s="41">
        <f aca="true" t="shared" si="130" ref="CY101:DD101">CS101*1000/0.45359237/$B101</f>
        <v>2746464.6309405924</v>
      </c>
      <c r="CZ101" s="41">
        <f t="shared" si="130"/>
        <v>928535.1748492492</v>
      </c>
      <c r="DA101" s="41">
        <f t="shared" si="130"/>
        <v>641816.3397510553</v>
      </c>
      <c r="DB101" s="41">
        <f t="shared" si="130"/>
        <v>736839.1115804733</v>
      </c>
      <c r="DC101" s="41">
        <f t="shared" si="130"/>
        <v>369952.18114232394</v>
      </c>
      <c r="DD101" s="237">
        <f t="shared" si="130"/>
        <v>0</v>
      </c>
      <c r="DE101" s="39">
        <f t="shared" si="128"/>
        <v>-11648</v>
      </c>
      <c r="DF101" s="39">
        <f t="shared" si="128"/>
        <v>-3938</v>
      </c>
      <c r="DG101" s="39">
        <f t="shared" si="128"/>
        <v>-2722</v>
      </c>
      <c r="DH101" s="39">
        <f t="shared" si="128"/>
        <v>-3125</v>
      </c>
      <c r="DI101" s="39">
        <f t="shared" si="128"/>
        <v>-1569</v>
      </c>
      <c r="DJ101" s="243">
        <f t="shared" si="128"/>
        <v>0</v>
      </c>
      <c r="DK101" s="39">
        <f t="shared" si="128"/>
        <v>-2746464.6309405924</v>
      </c>
      <c r="DL101" s="39">
        <f t="shared" si="128"/>
        <v>-928535.1748492492</v>
      </c>
      <c r="DM101" s="39">
        <f t="shared" si="128"/>
        <v>-641816.3397510553</v>
      </c>
      <c r="DN101" s="39">
        <f t="shared" si="128"/>
        <v>-736839.1115804733</v>
      </c>
      <c r="DO101" s="39">
        <f t="shared" si="128"/>
        <v>-369952.18114232394</v>
      </c>
      <c r="DP101" s="243">
        <f t="shared" si="128"/>
        <v>0</v>
      </c>
      <c r="DQ101" s="39">
        <f>DK101+Commerical!I101</f>
        <v>-2746464.6309405924</v>
      </c>
      <c r="DR101" s="39">
        <f>DL101+Commerical!J101</f>
        <v>-928535.1748492492</v>
      </c>
      <c r="DS101" s="39">
        <f>DM101+Commerical!K101</f>
        <v>-641816.3397510553</v>
      </c>
      <c r="DT101" s="39">
        <f>DN101+Commerical!L101</f>
        <v>-736839.1115804733</v>
      </c>
      <c r="DU101" s="39">
        <f>DO101+Commerical!M101</f>
        <v>-369952.18114232394</v>
      </c>
      <c r="DV101" s="243">
        <f>DP101+Commerical!N101</f>
        <v>0</v>
      </c>
      <c r="DW101" s="39"/>
      <c r="DX101" s="39"/>
      <c r="DY101" s="38"/>
      <c r="DZ101" s="38"/>
      <c r="EA101" s="546"/>
      <c r="EB101" s="38"/>
      <c r="EC101" s="38"/>
      <c r="ED101" s="38"/>
    </row>
    <row r="102" spans="1:134" ht="12.75">
      <c r="A102" s="88" t="s">
        <v>237</v>
      </c>
      <c r="B102" s="29">
        <f>Commerical!B102</f>
        <v>1.6591556550000002</v>
      </c>
      <c r="C102" s="41"/>
      <c r="E102" s="41"/>
      <c r="F102" s="41"/>
      <c r="G102" s="235"/>
      <c r="H102" s="41"/>
      <c r="I102" s="205"/>
      <c r="J102" s="205"/>
      <c r="K102" s="205"/>
      <c r="L102" s="618"/>
      <c r="M102" s="626"/>
      <c r="N102" s="205"/>
      <c r="O102" s="205"/>
      <c r="P102" s="205"/>
      <c r="Q102" s="205"/>
      <c r="R102" s="271"/>
      <c r="S102" s="205"/>
      <c r="T102" s="205"/>
      <c r="U102" s="205"/>
      <c r="V102" s="205"/>
      <c r="W102" s="205"/>
      <c r="X102" s="216"/>
      <c r="Y102" s="205"/>
      <c r="Z102" s="205"/>
      <c r="AA102" s="205"/>
      <c r="AB102" s="205"/>
      <c r="AC102" s="38"/>
      <c r="AD102" s="41"/>
      <c r="AE102" s="616"/>
      <c r="AF102" s="205"/>
      <c r="AG102" s="205"/>
      <c r="AH102" s="205"/>
      <c r="AI102" s="205"/>
      <c r="AJ102" s="216"/>
      <c r="AK102" s="205"/>
      <c r="AL102" s="205"/>
      <c r="AM102" s="41"/>
      <c r="AN102" s="41"/>
      <c r="AO102" s="41"/>
      <c r="AP102" s="498"/>
      <c r="AQ102" s="39"/>
      <c r="AR102" s="39"/>
      <c r="AS102" s="205"/>
      <c r="AT102" s="205"/>
      <c r="AU102" s="205"/>
      <c r="AV102" s="235"/>
      <c r="AW102" s="41"/>
      <c r="AX102" s="41"/>
      <c r="AY102" s="41"/>
      <c r="AZ102" s="41"/>
      <c r="BA102" s="41"/>
      <c r="BB102" s="237"/>
      <c r="BC102" s="41"/>
      <c r="BD102" s="41"/>
      <c r="BE102" s="210"/>
      <c r="BF102" s="41"/>
      <c r="BG102" s="41"/>
      <c r="BH102" s="224"/>
      <c r="BI102" s="210"/>
      <c r="BJ102" s="210"/>
      <c r="BK102" s="41"/>
      <c r="BL102" s="286"/>
      <c r="BM102" s="41"/>
      <c r="BN102" s="216"/>
      <c r="BO102" s="205"/>
      <c r="BP102" s="205"/>
      <c r="BQ102" s="205"/>
      <c r="BR102" s="205"/>
      <c r="BS102" s="205"/>
      <c r="BT102" s="216"/>
      <c r="BU102" s="205"/>
      <c r="BV102" s="205"/>
      <c r="BW102" s="205"/>
      <c r="BX102" s="205"/>
      <c r="BY102" s="205"/>
      <c r="BZ102" s="235"/>
      <c r="CA102" s="41"/>
      <c r="CB102" s="41"/>
      <c r="CC102" s="205"/>
      <c r="CD102" s="205"/>
      <c r="CE102" s="400"/>
      <c r="CF102" s="216"/>
      <c r="CG102" s="205"/>
      <c r="CH102" s="205"/>
      <c r="CI102" s="39"/>
      <c r="CJ102" s="286"/>
      <c r="CK102" s="286"/>
      <c r="CL102" s="498"/>
      <c r="CM102" s="39"/>
      <c r="CN102" s="39"/>
      <c r="CO102" s="39"/>
      <c r="CP102" s="205"/>
      <c r="CQ102" s="205"/>
      <c r="CR102" s="282"/>
      <c r="CS102" s="205"/>
      <c r="CT102" s="41"/>
      <c r="CU102" s="41"/>
      <c r="CV102" s="41"/>
      <c r="CW102" s="41"/>
      <c r="CX102" s="237"/>
      <c r="CY102" s="41"/>
      <c r="CZ102" s="41"/>
      <c r="DA102" s="39"/>
      <c r="DB102" s="41"/>
      <c r="DC102" s="41"/>
      <c r="DD102" s="224"/>
      <c r="DE102" s="210"/>
      <c r="DF102" s="39"/>
      <c r="DG102" s="39"/>
      <c r="DH102" s="39"/>
      <c r="DI102" s="39"/>
      <c r="DJ102" s="243"/>
      <c r="DK102" s="39"/>
      <c r="DL102" s="39"/>
      <c r="DM102" s="39"/>
      <c r="DN102" s="39"/>
      <c r="DO102" s="39"/>
      <c r="DP102" s="243"/>
      <c r="DQ102" s="39">
        <f>DK102+Commerical!I102</f>
        <v>9153451.006379506</v>
      </c>
      <c r="DR102" s="39">
        <f>DL102+Commerical!J102</f>
        <v>6341779.909733664</v>
      </c>
      <c r="DS102" s="39">
        <f>DM102+Commerical!K102</f>
        <v>5287026.550863306</v>
      </c>
      <c r="DT102" s="39">
        <f>DN102+Commerical!L102</f>
        <v>3514438.1917560347</v>
      </c>
      <c r="DU102" s="39">
        <f>DO102+Commerical!M102</f>
        <v>5933138.322697034</v>
      </c>
      <c r="DV102" s="243">
        <f>DP102+Commerical!N102</f>
        <v>5722187.650922962</v>
      </c>
      <c r="DW102" s="39"/>
      <c r="DX102" s="39"/>
      <c r="DY102" s="38"/>
      <c r="DZ102" s="38"/>
      <c r="EA102" s="546"/>
      <c r="EB102" s="38"/>
      <c r="EC102" s="38"/>
      <c r="ED102" s="38"/>
    </row>
    <row r="103" spans="1:134" ht="12.75">
      <c r="A103" s="88" t="s">
        <v>238</v>
      </c>
      <c r="B103" s="29">
        <f>Commerical!B103</f>
        <v>1.2155</v>
      </c>
      <c r="C103" s="41"/>
      <c r="E103" s="41"/>
      <c r="F103" s="41"/>
      <c r="G103" s="235"/>
      <c r="H103" s="41"/>
      <c r="I103" s="205"/>
      <c r="J103" s="205"/>
      <c r="K103" s="205"/>
      <c r="L103" s="618"/>
      <c r="M103" s="626"/>
      <c r="N103" s="205"/>
      <c r="O103" s="205"/>
      <c r="P103" s="205"/>
      <c r="Q103" s="38"/>
      <c r="R103" s="273"/>
      <c r="S103" s="38"/>
      <c r="T103" s="38"/>
      <c r="U103" s="38"/>
      <c r="V103" s="38"/>
      <c r="W103" s="38"/>
      <c r="X103" s="238"/>
      <c r="Y103" s="38"/>
      <c r="Z103" s="38"/>
      <c r="AA103" s="38"/>
      <c r="AB103" s="205"/>
      <c r="AC103" s="38"/>
      <c r="AD103" s="41"/>
      <c r="AE103" s="616"/>
      <c r="AF103" s="38"/>
      <c r="AG103" s="38"/>
      <c r="AH103" s="38"/>
      <c r="AI103" s="38"/>
      <c r="AJ103" s="238"/>
      <c r="AK103" s="38"/>
      <c r="AL103" s="38"/>
      <c r="AM103" s="41"/>
      <c r="AN103" s="41"/>
      <c r="AO103" s="41"/>
      <c r="AP103" s="498"/>
      <c r="AQ103" s="39"/>
      <c r="AR103" s="39"/>
      <c r="AS103" s="38"/>
      <c r="AT103" s="38"/>
      <c r="AU103" s="38"/>
      <c r="AV103" s="410"/>
      <c r="AW103" s="183"/>
      <c r="AX103" s="41"/>
      <c r="AY103" s="41"/>
      <c r="AZ103" s="41"/>
      <c r="BA103" s="41"/>
      <c r="BB103" s="237"/>
      <c r="BC103" s="41"/>
      <c r="BD103" s="41"/>
      <c r="BE103" s="210"/>
      <c r="BF103" s="41"/>
      <c r="BG103" s="41"/>
      <c r="BH103" s="224"/>
      <c r="BI103" s="210"/>
      <c r="BJ103" s="210"/>
      <c r="BK103" s="41"/>
      <c r="BL103" s="286"/>
      <c r="BM103" s="41"/>
      <c r="BN103" s="238"/>
      <c r="BO103" s="38"/>
      <c r="BP103" s="38"/>
      <c r="BQ103" s="38"/>
      <c r="BR103" s="38"/>
      <c r="BS103" s="38"/>
      <c r="BT103" s="238"/>
      <c r="BU103" s="38"/>
      <c r="BV103" s="38"/>
      <c r="BW103" s="38"/>
      <c r="BX103" s="205"/>
      <c r="BY103" s="205"/>
      <c r="BZ103" s="235"/>
      <c r="CA103" s="41"/>
      <c r="CB103" s="41"/>
      <c r="CC103" s="38"/>
      <c r="CD103" s="205"/>
      <c r="CE103" s="400"/>
      <c r="CF103" s="216"/>
      <c r="CG103" s="205"/>
      <c r="CH103" s="205"/>
      <c r="CI103" s="39"/>
      <c r="CJ103" s="286"/>
      <c r="CK103" s="286"/>
      <c r="CL103" s="498"/>
      <c r="CM103" s="39"/>
      <c r="CN103" s="39"/>
      <c r="CO103" s="39"/>
      <c r="CP103" s="38"/>
      <c r="CQ103" s="38"/>
      <c r="CR103" s="259"/>
      <c r="CS103" s="38"/>
      <c r="CT103" s="183"/>
      <c r="CU103" s="41"/>
      <c r="CV103" s="41"/>
      <c r="CW103" s="41"/>
      <c r="CX103" s="237"/>
      <c r="CY103" s="41"/>
      <c r="CZ103" s="41"/>
      <c r="DA103" s="39"/>
      <c r="DB103" s="41"/>
      <c r="DC103" s="41"/>
      <c r="DD103" s="224"/>
      <c r="DE103" s="210"/>
      <c r="DF103" s="39"/>
      <c r="DG103" s="39"/>
      <c r="DH103" s="39"/>
      <c r="DI103" s="39"/>
      <c r="DJ103" s="243"/>
      <c r="DK103" s="39"/>
      <c r="DL103" s="39"/>
      <c r="DM103" s="39"/>
      <c r="DN103" s="39"/>
      <c r="DO103" s="39"/>
      <c r="DP103" s="243"/>
      <c r="DQ103" s="39">
        <f>DK103+Commerical!I103</f>
        <v>2148087.2069107364</v>
      </c>
      <c r="DR103" s="39">
        <f>DL103+Commerical!J103</f>
        <v>1949814.8909913616</v>
      </c>
      <c r="DS103" s="39">
        <f>DM103+Commerical!K103</f>
        <v>1629781.9827231592</v>
      </c>
      <c r="DT103" s="39">
        <f>DN103+Commerical!L103</f>
        <v>1879062.1143562319</v>
      </c>
      <c r="DU103" s="39">
        <f>DO103+Commerical!M103</f>
        <v>2166186.7544220486</v>
      </c>
      <c r="DV103" s="243">
        <f>DP103+Commerical!N103</f>
        <v>2873714.520773344</v>
      </c>
      <c r="DW103" s="138"/>
      <c r="DX103" s="39"/>
      <c r="DY103" s="38"/>
      <c r="DZ103" s="38"/>
      <c r="EA103" s="546"/>
      <c r="EB103" s="38"/>
      <c r="EC103" s="38"/>
      <c r="ED103" s="38"/>
    </row>
    <row r="104" spans="1:134" ht="12.75">
      <c r="A104" s="88" t="s">
        <v>239</v>
      </c>
      <c r="B104" s="29">
        <f>Commerical!B104</f>
        <v>37.5</v>
      </c>
      <c r="C104" s="41"/>
      <c r="E104" s="41"/>
      <c r="F104" s="41"/>
      <c r="G104" s="235"/>
      <c r="H104" s="41"/>
      <c r="I104" s="205"/>
      <c r="J104" s="205"/>
      <c r="K104" s="205"/>
      <c r="L104" s="618"/>
      <c r="M104" s="626"/>
      <c r="N104" s="205"/>
      <c r="O104" s="205"/>
      <c r="P104" s="205"/>
      <c r="Q104" s="205"/>
      <c r="R104" s="271"/>
      <c r="S104" s="205"/>
      <c r="T104" s="205"/>
      <c r="U104" s="205"/>
      <c r="V104" s="205"/>
      <c r="W104" s="205"/>
      <c r="X104" s="216"/>
      <c r="Y104" s="205"/>
      <c r="Z104" s="205"/>
      <c r="AA104" s="205"/>
      <c r="AB104" s="205"/>
      <c r="AC104" s="38"/>
      <c r="AD104" s="41"/>
      <c r="AE104" s="616"/>
      <c r="AF104" s="205"/>
      <c r="AG104" s="205"/>
      <c r="AH104" s="205"/>
      <c r="AI104" s="205"/>
      <c r="AJ104" s="216"/>
      <c r="AK104" s="205"/>
      <c r="AL104" s="205"/>
      <c r="AM104" s="41"/>
      <c r="AN104" s="41"/>
      <c r="AO104" s="41"/>
      <c r="AP104" s="498"/>
      <c r="AQ104" s="39"/>
      <c r="AR104" s="39"/>
      <c r="AS104" s="205"/>
      <c r="AT104" s="205"/>
      <c r="AU104" s="205"/>
      <c r="AV104" s="235"/>
      <c r="AW104" s="41"/>
      <c r="AX104" s="41"/>
      <c r="AY104" s="41"/>
      <c r="AZ104" s="41"/>
      <c r="BA104" s="41"/>
      <c r="BB104" s="237"/>
      <c r="BC104" s="41"/>
      <c r="BD104" s="41"/>
      <c r="BE104" s="210"/>
      <c r="BF104" s="41"/>
      <c r="BG104" s="41"/>
      <c r="BH104" s="224"/>
      <c r="BI104" s="210"/>
      <c r="BJ104" s="210"/>
      <c r="BK104" s="41"/>
      <c r="BL104" s="286"/>
      <c r="BM104" s="41"/>
      <c r="BN104" s="216"/>
      <c r="BO104" s="205"/>
      <c r="BP104" s="205"/>
      <c r="BQ104" s="205"/>
      <c r="BR104" s="205"/>
      <c r="BS104" s="205"/>
      <c r="BT104" s="216"/>
      <c r="BU104" s="205"/>
      <c r="BV104" s="205"/>
      <c r="BW104" s="205"/>
      <c r="BX104" s="205"/>
      <c r="BY104" s="205"/>
      <c r="BZ104" s="235"/>
      <c r="CA104" s="41"/>
      <c r="CB104" s="41"/>
      <c r="CC104" s="205"/>
      <c r="CD104" s="205"/>
      <c r="CE104" s="400"/>
      <c r="CF104" s="216"/>
      <c r="CG104" s="205"/>
      <c r="CH104" s="205"/>
      <c r="CI104" s="39"/>
      <c r="CJ104" s="286"/>
      <c r="CK104" s="286"/>
      <c r="CL104" s="498"/>
      <c r="CM104" s="39"/>
      <c r="CN104" s="39"/>
      <c r="CO104" s="39"/>
      <c r="CP104" s="205"/>
      <c r="CQ104" s="205"/>
      <c r="CR104" s="282"/>
      <c r="CS104" s="205"/>
      <c r="CT104" s="41"/>
      <c r="CU104" s="41"/>
      <c r="CV104" s="41"/>
      <c r="CW104" s="41"/>
      <c r="CX104" s="237"/>
      <c r="CY104" s="41"/>
      <c r="CZ104" s="41"/>
      <c r="DA104" s="39"/>
      <c r="DB104" s="41"/>
      <c r="DC104" s="41"/>
      <c r="DD104" s="224"/>
      <c r="DE104" s="210"/>
      <c r="DF104" s="39"/>
      <c r="DG104" s="39"/>
      <c r="DH104" s="39"/>
      <c r="DI104" s="39"/>
      <c r="DJ104" s="243"/>
      <c r="DK104" s="39"/>
      <c r="DL104" s="39"/>
      <c r="DM104" s="39"/>
      <c r="DN104" s="39"/>
      <c r="DO104" s="39"/>
      <c r="DP104" s="243"/>
      <c r="DQ104" s="39">
        <f>DK104+Commerical!I104</f>
        <v>15066.666666666666</v>
      </c>
      <c r="DR104" s="39">
        <f>DL104+Commerical!J104</f>
        <v>15146.666666666666</v>
      </c>
      <c r="DS104" s="39">
        <f>DM104+Commerical!K104</f>
        <v>10960</v>
      </c>
      <c r="DT104" s="39">
        <f>DN104+Commerical!L104</f>
        <v>17840</v>
      </c>
      <c r="DU104" s="39">
        <f>DO104+Commerical!M104</f>
        <v>13013.333333333334</v>
      </c>
      <c r="DV104" s="243">
        <f>DP104+Commerical!N104</f>
        <v>10746.666666666666</v>
      </c>
      <c r="DW104" s="138"/>
      <c r="DX104" s="39"/>
      <c r="DY104" s="38"/>
      <c r="DZ104" s="38"/>
      <c r="EA104" s="546"/>
      <c r="EB104" s="38"/>
      <c r="EC104" s="38"/>
      <c r="ED104" s="38"/>
    </row>
    <row r="105" spans="1:134" ht="12.75">
      <c r="A105" s="88" t="s">
        <v>648</v>
      </c>
      <c r="B105" s="29">
        <f>SUM(Commerical!C103:H104)*1000/SUM(Commerical!I103:N104)</f>
        <v>1.4514407438636276</v>
      </c>
      <c r="C105" s="41">
        <v>66</v>
      </c>
      <c r="D105" s="397">
        <v>87</v>
      </c>
      <c r="E105" s="398">
        <v>778</v>
      </c>
      <c r="F105" s="398">
        <v>269</v>
      </c>
      <c r="G105" s="494">
        <v>257</v>
      </c>
      <c r="H105" s="401"/>
      <c r="I105" s="205"/>
      <c r="J105" s="205"/>
      <c r="K105" s="205"/>
      <c r="L105" s="502"/>
      <c r="M105" s="628"/>
      <c r="N105" s="205"/>
      <c r="O105" s="205"/>
      <c r="P105" s="205"/>
      <c r="Q105" s="205"/>
      <c r="R105" s="271">
        <v>363</v>
      </c>
      <c r="S105" s="205"/>
      <c r="T105" s="205"/>
      <c r="U105" s="205"/>
      <c r="V105" s="205"/>
      <c r="W105" s="205"/>
      <c r="X105" s="216"/>
      <c r="Y105" s="205"/>
      <c r="Z105" s="205"/>
      <c r="AA105" s="205"/>
      <c r="AB105" s="205"/>
      <c r="AC105" s="38"/>
      <c r="AD105" s="41"/>
      <c r="AE105" s="616"/>
      <c r="AF105" s="205"/>
      <c r="AG105" s="205"/>
      <c r="AH105" s="205"/>
      <c r="AI105" s="205"/>
      <c r="AJ105" s="216"/>
      <c r="AK105" s="205"/>
      <c r="AL105" s="205"/>
      <c r="AM105" s="41"/>
      <c r="AN105" s="41"/>
      <c r="AO105" s="41"/>
      <c r="AP105" s="498"/>
      <c r="AQ105" s="39"/>
      <c r="AR105" s="39"/>
      <c r="AS105" s="205"/>
      <c r="AT105" s="205"/>
      <c r="AU105" s="205"/>
      <c r="AV105" s="235"/>
      <c r="AW105" s="41">
        <f>(C105+H105+M105+S105+Y105+(AE105/0.212)+(AK105/0.55)+(AQ105/0.635))</f>
        <v>66</v>
      </c>
      <c r="AX105" s="41">
        <f t="shared" si="75"/>
        <v>87</v>
      </c>
      <c r="AY105" s="41">
        <f t="shared" si="76"/>
        <v>778</v>
      </c>
      <c r="AZ105" s="41">
        <f>(F105+K105+P105+V105+AB105+(AH105/0.212)+(AN105/0.55)+(AT105/0.635))</f>
        <v>269</v>
      </c>
      <c r="BA105" s="41">
        <f>(G105+L105+Q105+W105+AC105+(AI105/0.212)+(AO105/0.55)+(AU105/0.635))</f>
        <v>257</v>
      </c>
      <c r="BB105" s="237">
        <f>(R105+X105+AD105+(AJ105/0.212)+(AP105/0.55)+(AV105/0.635))</f>
        <v>363</v>
      </c>
      <c r="BC105" s="41">
        <f aca="true" t="shared" si="131" ref="BC105:BH105">AW105*1000/0.45359237/$B105</f>
        <v>100248.73123975798</v>
      </c>
      <c r="BD105" s="41">
        <f t="shared" si="131"/>
        <v>132146.0548160446</v>
      </c>
      <c r="BE105" s="41">
        <f t="shared" si="131"/>
        <v>1181719.8924929046</v>
      </c>
      <c r="BF105" s="41">
        <f t="shared" si="131"/>
        <v>408589.52581052866</v>
      </c>
      <c r="BG105" s="41">
        <f t="shared" si="131"/>
        <v>390362.48376693635</v>
      </c>
      <c r="BH105" s="237">
        <f t="shared" si="131"/>
        <v>551368.0218186688</v>
      </c>
      <c r="BI105" s="41">
        <v>439</v>
      </c>
      <c r="BJ105" s="41">
        <v>138</v>
      </c>
      <c r="BK105" s="41">
        <v>151</v>
      </c>
      <c r="BL105" s="400">
        <v>292</v>
      </c>
      <c r="BM105" s="400">
        <v>242</v>
      </c>
      <c r="BN105" s="216"/>
      <c r="BO105" s="205"/>
      <c r="BP105" s="205"/>
      <c r="BQ105" s="205"/>
      <c r="BR105" s="205"/>
      <c r="BS105" s="205"/>
      <c r="BT105" s="216"/>
      <c r="BU105" s="205"/>
      <c r="BV105" s="286"/>
      <c r="BW105" s="205"/>
      <c r="BX105" s="205"/>
      <c r="BY105" s="205"/>
      <c r="BZ105" s="235"/>
      <c r="CA105" s="41"/>
      <c r="CB105" s="41"/>
      <c r="CC105" s="205"/>
      <c r="CD105" s="205"/>
      <c r="CE105" s="517"/>
      <c r="CF105" s="216"/>
      <c r="CG105" s="205"/>
      <c r="CH105" s="205"/>
      <c r="CI105" s="39"/>
      <c r="CJ105" s="286"/>
      <c r="CK105" s="286"/>
      <c r="CL105" s="498"/>
      <c r="CM105" s="39"/>
      <c r="CN105" s="39"/>
      <c r="CO105" s="39"/>
      <c r="CP105" s="205"/>
      <c r="CQ105" s="205"/>
      <c r="CR105" s="282"/>
      <c r="CS105" s="41">
        <f aca="true" t="shared" si="132" ref="CS105:CX105">(BI105+BO105+BU105+(CA105/0.212)+(CG105/0.55)+(CM105/0.635))</f>
        <v>439</v>
      </c>
      <c r="CT105" s="41">
        <f t="shared" si="132"/>
        <v>138</v>
      </c>
      <c r="CU105" s="41">
        <f t="shared" si="132"/>
        <v>151</v>
      </c>
      <c r="CV105" s="41">
        <f t="shared" si="132"/>
        <v>292</v>
      </c>
      <c r="CW105" s="41">
        <f t="shared" si="132"/>
        <v>242</v>
      </c>
      <c r="CX105" s="237">
        <f t="shared" si="132"/>
        <v>0</v>
      </c>
      <c r="CY105" s="41"/>
      <c r="CZ105" s="41"/>
      <c r="DA105" s="39"/>
      <c r="DB105" s="41"/>
      <c r="DC105" s="41"/>
      <c r="DD105" s="237"/>
      <c r="DE105" s="39">
        <f aca="true" t="shared" si="133" ref="DE105:DP105">AW105-CS105</f>
        <v>-373</v>
      </c>
      <c r="DF105" s="39">
        <f t="shared" si="133"/>
        <v>-51</v>
      </c>
      <c r="DG105" s="39">
        <f t="shared" si="133"/>
        <v>627</v>
      </c>
      <c r="DH105" s="39">
        <f t="shared" si="133"/>
        <v>-23</v>
      </c>
      <c r="DI105" s="39">
        <f t="shared" si="133"/>
        <v>15</v>
      </c>
      <c r="DJ105" s="243">
        <f t="shared" si="133"/>
        <v>363</v>
      </c>
      <c r="DK105" s="39">
        <f t="shared" si="133"/>
        <v>100248.73123975798</v>
      </c>
      <c r="DL105" s="39">
        <f t="shared" si="133"/>
        <v>132146.0548160446</v>
      </c>
      <c r="DM105" s="39">
        <f t="shared" si="133"/>
        <v>1181719.8924929046</v>
      </c>
      <c r="DN105" s="39">
        <f t="shared" si="133"/>
        <v>408589.52581052866</v>
      </c>
      <c r="DO105" s="39">
        <f t="shared" si="133"/>
        <v>390362.48376693635</v>
      </c>
      <c r="DP105" s="243">
        <f t="shared" si="133"/>
        <v>551368.0218186688</v>
      </c>
      <c r="DQ105" s="39">
        <f>DK105+Commerical!I105</f>
        <v>100248.73123975798</v>
      </c>
      <c r="DR105" s="39">
        <f>DL105+Commerical!J105</f>
        <v>132146.0548160446</v>
      </c>
      <c r="DS105" s="39">
        <f>DM105+Commerical!K105</f>
        <v>1181719.8924929046</v>
      </c>
      <c r="DT105" s="39">
        <f>DN105+Commerical!L105</f>
        <v>408589.52581052866</v>
      </c>
      <c r="DU105" s="39">
        <f>DO105+Commerical!M105</f>
        <v>390362.48376693635</v>
      </c>
      <c r="DV105" s="243">
        <f>DP105+Commerical!N105</f>
        <v>551368.0218186688</v>
      </c>
      <c r="DW105" s="138"/>
      <c r="DX105" s="39"/>
      <c r="DY105" s="39"/>
      <c r="DZ105" s="38"/>
      <c r="EA105" s="546"/>
      <c r="EB105" s="39"/>
      <c r="EC105" s="38"/>
      <c r="ED105" s="38"/>
    </row>
    <row r="106" spans="1:134" ht="12.75">
      <c r="A106" s="88" t="s">
        <v>240</v>
      </c>
      <c r="B106" s="29">
        <f>Commerical!B106</f>
        <v>3</v>
      </c>
      <c r="C106" s="41"/>
      <c r="E106" s="41"/>
      <c r="F106" s="41"/>
      <c r="G106" s="235"/>
      <c r="H106" s="41"/>
      <c r="I106" s="205"/>
      <c r="J106" s="205"/>
      <c r="K106" s="205"/>
      <c r="L106" s="618"/>
      <c r="M106" s="626"/>
      <c r="N106" s="205"/>
      <c r="O106" s="205"/>
      <c r="P106" s="205"/>
      <c r="Q106" s="205"/>
      <c r="R106" s="271"/>
      <c r="S106" s="205"/>
      <c r="T106" s="205"/>
      <c r="U106" s="205"/>
      <c r="V106" s="205"/>
      <c r="W106" s="205"/>
      <c r="X106" s="216"/>
      <c r="Y106" s="205"/>
      <c r="Z106" s="205"/>
      <c r="AA106" s="205"/>
      <c r="AB106" s="205"/>
      <c r="AC106" s="38"/>
      <c r="AD106" s="41"/>
      <c r="AE106" s="616"/>
      <c r="AF106" s="205"/>
      <c r="AG106" s="205"/>
      <c r="AH106" s="205"/>
      <c r="AI106" s="205"/>
      <c r="AJ106" s="216"/>
      <c r="AK106" s="205"/>
      <c r="AL106" s="205"/>
      <c r="AM106" s="41"/>
      <c r="AN106" s="41"/>
      <c r="AO106" s="41"/>
      <c r="AP106" s="498"/>
      <c r="AQ106" s="39"/>
      <c r="AR106" s="39"/>
      <c r="AS106" s="205"/>
      <c r="AT106" s="205"/>
      <c r="AU106" s="205"/>
      <c r="AV106" s="235"/>
      <c r="AW106" s="41"/>
      <c r="AX106" s="41"/>
      <c r="AY106" s="41"/>
      <c r="AZ106" s="41"/>
      <c r="BA106" s="41"/>
      <c r="BB106" s="237"/>
      <c r="BC106" s="41"/>
      <c r="BD106" s="41"/>
      <c r="BE106" s="210"/>
      <c r="BF106" s="41"/>
      <c r="BG106" s="41"/>
      <c r="BH106" s="224"/>
      <c r="BI106" s="210"/>
      <c r="BJ106" s="210"/>
      <c r="BK106" s="41"/>
      <c r="BL106" s="286"/>
      <c r="BM106" s="41"/>
      <c r="BN106" s="216"/>
      <c r="BO106" s="205"/>
      <c r="BP106" s="205"/>
      <c r="BQ106" s="205"/>
      <c r="BR106" s="205"/>
      <c r="BS106" s="205"/>
      <c r="BT106" s="216"/>
      <c r="BU106" s="205"/>
      <c r="BV106" s="286"/>
      <c r="BW106" s="205"/>
      <c r="BX106" s="205"/>
      <c r="BY106" s="205"/>
      <c r="BZ106" s="235"/>
      <c r="CA106" s="41"/>
      <c r="CB106" s="41"/>
      <c r="CC106" s="205"/>
      <c r="CD106" s="205"/>
      <c r="CE106" s="400"/>
      <c r="CF106" s="216"/>
      <c r="CG106" s="205"/>
      <c r="CH106" s="205"/>
      <c r="CI106" s="39"/>
      <c r="CJ106" s="286"/>
      <c r="CK106" s="286"/>
      <c r="CL106" s="498"/>
      <c r="CM106" s="39"/>
      <c r="CN106" s="39"/>
      <c r="CO106" s="39"/>
      <c r="CP106" s="205"/>
      <c r="CQ106" s="205"/>
      <c r="CR106" s="282"/>
      <c r="CS106" s="205"/>
      <c r="CT106" s="41"/>
      <c r="CU106" s="41"/>
      <c r="CV106" s="41"/>
      <c r="CW106" s="41"/>
      <c r="CX106" s="237"/>
      <c r="CY106" s="41"/>
      <c r="CZ106" s="41"/>
      <c r="DA106" s="39"/>
      <c r="DB106" s="41"/>
      <c r="DC106" s="41"/>
      <c r="DD106" s="224"/>
      <c r="DE106" s="210"/>
      <c r="DF106" s="39"/>
      <c r="DG106" s="39"/>
      <c r="DH106" s="39"/>
      <c r="DI106" s="39"/>
      <c r="DJ106" s="243"/>
      <c r="DK106" s="39"/>
      <c r="DL106" s="39"/>
      <c r="DM106" s="39"/>
      <c r="DN106" s="39"/>
      <c r="DO106" s="39"/>
      <c r="DP106" s="243"/>
      <c r="DQ106" s="39">
        <f>DK106+Commerical!I106</f>
        <v>46000</v>
      </c>
      <c r="DR106" s="39">
        <f>DL106+Commerical!J106</f>
        <v>90000</v>
      </c>
      <c r="DS106" s="39">
        <f>DM106+Commerical!K106</f>
        <v>126333.33333333333</v>
      </c>
      <c r="DT106" s="39">
        <f>DN106+Commerical!L106</f>
        <v>153000</v>
      </c>
      <c r="DU106" s="39">
        <f>DO106+Commerical!M106</f>
        <v>302666.6666666667</v>
      </c>
      <c r="DV106" s="243">
        <f>DP106+Commerical!N106</f>
        <v>354000</v>
      </c>
      <c r="DW106" s="138"/>
      <c r="DX106" s="39"/>
      <c r="DY106" s="38"/>
      <c r="DZ106" s="38"/>
      <c r="EA106" s="546"/>
      <c r="EB106" s="38"/>
      <c r="EC106" s="38"/>
      <c r="ED106" s="38"/>
    </row>
    <row r="107" spans="1:134" ht="12.75">
      <c r="A107" s="88" t="s">
        <v>241</v>
      </c>
      <c r="B107" s="29">
        <f>Commerical!B107</f>
        <v>1.7095</v>
      </c>
      <c r="C107" s="41"/>
      <c r="E107" s="41"/>
      <c r="F107" s="41"/>
      <c r="G107" s="235"/>
      <c r="H107" s="41"/>
      <c r="I107" s="205"/>
      <c r="J107" s="205"/>
      <c r="K107" s="205"/>
      <c r="L107" s="618"/>
      <c r="M107" s="626"/>
      <c r="N107" s="205"/>
      <c r="O107" s="205"/>
      <c r="P107" s="205"/>
      <c r="Q107" s="205"/>
      <c r="R107" s="271"/>
      <c r="S107" s="205"/>
      <c r="T107" s="205"/>
      <c r="U107" s="205"/>
      <c r="V107" s="205"/>
      <c r="W107" s="205"/>
      <c r="X107" s="216"/>
      <c r="Y107" s="205"/>
      <c r="Z107" s="205"/>
      <c r="AA107" s="205"/>
      <c r="AB107" s="205"/>
      <c r="AC107" s="38"/>
      <c r="AD107" s="41"/>
      <c r="AE107" s="616"/>
      <c r="AF107" s="205"/>
      <c r="AG107" s="205"/>
      <c r="AH107" s="205"/>
      <c r="AI107" s="205"/>
      <c r="AJ107" s="216"/>
      <c r="AK107" s="205"/>
      <c r="AL107" s="205"/>
      <c r="AM107" s="41"/>
      <c r="AN107" s="41"/>
      <c r="AO107" s="41"/>
      <c r="AP107" s="498"/>
      <c r="AQ107" s="39"/>
      <c r="AR107" s="39"/>
      <c r="AS107" s="205"/>
      <c r="AT107" s="205"/>
      <c r="AU107" s="205"/>
      <c r="AV107" s="235"/>
      <c r="AW107" s="41"/>
      <c r="AX107" s="41"/>
      <c r="AY107" s="41"/>
      <c r="AZ107" s="41"/>
      <c r="BA107" s="41"/>
      <c r="BB107" s="237"/>
      <c r="BC107" s="41"/>
      <c r="BD107" s="41"/>
      <c r="BE107" s="210"/>
      <c r="BF107" s="41"/>
      <c r="BG107" s="41"/>
      <c r="BH107" s="224"/>
      <c r="BI107" s="210"/>
      <c r="BJ107" s="210"/>
      <c r="BK107" s="41"/>
      <c r="BL107" s="286"/>
      <c r="BM107" s="41"/>
      <c r="BN107" s="216"/>
      <c r="BO107" s="205"/>
      <c r="BP107" s="205"/>
      <c r="BQ107" s="205"/>
      <c r="BR107" s="205"/>
      <c r="BS107" s="205"/>
      <c r="BT107" s="216"/>
      <c r="BU107" s="205"/>
      <c r="BV107" s="205"/>
      <c r="BW107" s="205"/>
      <c r="BX107" s="205"/>
      <c r="BY107" s="205"/>
      <c r="BZ107" s="235"/>
      <c r="CA107" s="41"/>
      <c r="CB107" s="41"/>
      <c r="CC107" s="205"/>
      <c r="CD107" s="205"/>
      <c r="CE107" s="400"/>
      <c r="CF107" s="216"/>
      <c r="CG107" s="205"/>
      <c r="CH107" s="205"/>
      <c r="CI107" s="39"/>
      <c r="CJ107" s="286"/>
      <c r="CK107" s="286"/>
      <c r="CL107" s="498"/>
      <c r="CM107" s="39"/>
      <c r="CN107" s="39"/>
      <c r="CO107" s="39"/>
      <c r="CP107" s="205"/>
      <c r="CQ107" s="205"/>
      <c r="CR107" s="282"/>
      <c r="CS107" s="205"/>
      <c r="CT107" s="41"/>
      <c r="CU107" s="41"/>
      <c r="CV107" s="41"/>
      <c r="CW107" s="41"/>
      <c r="CX107" s="237"/>
      <c r="CY107" s="41"/>
      <c r="CZ107" s="41"/>
      <c r="DA107" s="39"/>
      <c r="DB107" s="41"/>
      <c r="DC107" s="41"/>
      <c r="DD107" s="224"/>
      <c r="DE107" s="210"/>
      <c r="DF107" s="39"/>
      <c r="DG107" s="39"/>
      <c r="DH107" s="39"/>
      <c r="DI107" s="39"/>
      <c r="DJ107" s="243"/>
      <c r="DK107" s="39"/>
      <c r="DL107" s="39"/>
      <c r="DM107" s="39"/>
      <c r="DN107" s="39"/>
      <c r="DO107" s="39"/>
      <c r="DP107" s="243"/>
      <c r="DQ107" s="39">
        <f>DK107+Commerical!I107</f>
        <v>124012.86926001754</v>
      </c>
      <c r="DR107" s="39">
        <f>DL107+Commerical!J107</f>
        <v>192453.9338988008</v>
      </c>
      <c r="DS107" s="39">
        <f>DM107+Commerical!K107</f>
        <v>279028.9558350395</v>
      </c>
      <c r="DT107" s="39">
        <f>DN107+Commerical!L107</f>
        <v>241591.1085112606</v>
      </c>
      <c r="DU107" s="39">
        <f>DO107+Commerical!M107</f>
        <v>305937.40859900555</v>
      </c>
      <c r="DV107" s="243">
        <f>DP107+Commerical!N107</f>
        <v>256215.2676221117</v>
      </c>
      <c r="DW107" s="138"/>
      <c r="DX107" s="39"/>
      <c r="DY107" s="38"/>
      <c r="DZ107" s="38"/>
      <c r="EA107" s="546"/>
      <c r="EB107" s="38"/>
      <c r="EC107" s="38"/>
      <c r="ED107" s="38"/>
    </row>
    <row r="108" spans="1:134" ht="12.75">
      <c r="A108" s="88" t="s">
        <v>546</v>
      </c>
      <c r="B108" s="29">
        <f>Commerical!B108</f>
        <v>0.7235</v>
      </c>
      <c r="C108" s="41"/>
      <c r="E108" s="41"/>
      <c r="F108" s="41"/>
      <c r="G108" s="235"/>
      <c r="H108" s="41"/>
      <c r="I108" s="205"/>
      <c r="J108" s="205"/>
      <c r="K108" s="205"/>
      <c r="L108" s="618"/>
      <c r="M108" s="626"/>
      <c r="N108" s="205"/>
      <c r="O108" s="205"/>
      <c r="P108" s="205"/>
      <c r="Q108" s="205"/>
      <c r="R108" s="271"/>
      <c r="S108" s="205"/>
      <c r="T108" s="205"/>
      <c r="U108" s="205"/>
      <c r="V108" s="205"/>
      <c r="W108" s="205"/>
      <c r="X108" s="216"/>
      <c r="Y108" s="205"/>
      <c r="Z108" s="205"/>
      <c r="AA108" s="205"/>
      <c r="AB108" s="205"/>
      <c r="AC108" s="38"/>
      <c r="AD108" s="41"/>
      <c r="AE108" s="616"/>
      <c r="AF108" s="205"/>
      <c r="AG108" s="205"/>
      <c r="AH108" s="205"/>
      <c r="AI108" s="205"/>
      <c r="AJ108" s="216"/>
      <c r="AK108" s="205"/>
      <c r="AL108" s="205"/>
      <c r="AM108" s="41"/>
      <c r="AN108" s="41"/>
      <c r="AO108" s="41"/>
      <c r="AP108" s="498"/>
      <c r="AQ108" s="39"/>
      <c r="AR108" s="39"/>
      <c r="AS108" s="205"/>
      <c r="AT108" s="205"/>
      <c r="AU108" s="205"/>
      <c r="AV108" s="235"/>
      <c r="AW108" s="41"/>
      <c r="AX108" s="41"/>
      <c r="AY108" s="41"/>
      <c r="AZ108" s="41"/>
      <c r="BA108" s="41"/>
      <c r="BB108" s="237"/>
      <c r="BC108" s="41"/>
      <c r="BD108" s="41"/>
      <c r="BE108" s="210"/>
      <c r="BF108" s="41"/>
      <c r="BG108" s="41"/>
      <c r="BH108" s="224"/>
      <c r="BI108" s="210"/>
      <c r="BJ108" s="210"/>
      <c r="BK108" s="41"/>
      <c r="BL108" s="286"/>
      <c r="BM108" s="41"/>
      <c r="BN108" s="216"/>
      <c r="BO108" s="205"/>
      <c r="BP108" s="205"/>
      <c r="BQ108" s="205"/>
      <c r="BR108" s="205"/>
      <c r="BS108" s="205"/>
      <c r="BT108" s="216"/>
      <c r="BU108" s="205"/>
      <c r="BV108" s="205"/>
      <c r="BW108" s="205"/>
      <c r="BX108" s="205"/>
      <c r="BY108" s="205"/>
      <c r="BZ108" s="235"/>
      <c r="CA108" s="41"/>
      <c r="CB108" s="41"/>
      <c r="CC108" s="205"/>
      <c r="CD108" s="205"/>
      <c r="CE108" s="400"/>
      <c r="CF108" s="216"/>
      <c r="CG108" s="205"/>
      <c r="CH108" s="205"/>
      <c r="CI108" s="39"/>
      <c r="CJ108" s="286"/>
      <c r="CK108" s="286"/>
      <c r="CL108" s="498"/>
      <c r="CM108" s="39"/>
      <c r="CN108" s="39"/>
      <c r="CO108" s="39"/>
      <c r="CP108" s="205"/>
      <c r="CQ108" s="205"/>
      <c r="CR108" s="282"/>
      <c r="CS108" s="205"/>
      <c r="CT108" s="41"/>
      <c r="CU108" s="41"/>
      <c r="CV108" s="41"/>
      <c r="CW108" s="41"/>
      <c r="CX108" s="237"/>
      <c r="CY108" s="41"/>
      <c r="CZ108" s="41"/>
      <c r="DA108" s="39"/>
      <c r="DB108" s="41"/>
      <c r="DC108" s="41"/>
      <c r="DD108" s="224"/>
      <c r="DE108" s="210"/>
      <c r="DF108" s="39"/>
      <c r="DG108" s="39"/>
      <c r="DH108" s="39"/>
      <c r="DI108" s="39"/>
      <c r="DJ108" s="243"/>
      <c r="DK108" s="39"/>
      <c r="DL108" s="39"/>
      <c r="DM108" s="39"/>
      <c r="DN108" s="39"/>
      <c r="DO108" s="39"/>
      <c r="DP108" s="243"/>
      <c r="DQ108" s="39">
        <f>DK108+Commerical!I108</f>
        <v>89841.05044920524</v>
      </c>
      <c r="DR108" s="39">
        <f>DL108+Commerical!J108</f>
        <v>100898.41050449204</v>
      </c>
      <c r="DS108" s="39">
        <f>DM108+Commerical!K108</f>
        <v>120248.79060124395</v>
      </c>
      <c r="DT108" s="39">
        <f>DN108+Commerical!L108</f>
        <v>114720.11057360054</v>
      </c>
      <c r="DU108" s="39">
        <f>DO108+Commerical!M108</f>
        <v>125777.47062888734</v>
      </c>
      <c r="DV108" s="243">
        <f>DP108+Commerical!N108</f>
        <v>71872.8403593642</v>
      </c>
      <c r="DW108" s="138"/>
      <c r="DX108" s="39"/>
      <c r="DY108" s="39"/>
      <c r="DZ108" s="38"/>
      <c r="EA108" s="546"/>
      <c r="EB108" s="39"/>
      <c r="EC108" s="38"/>
      <c r="ED108" s="38"/>
    </row>
    <row r="109" spans="1:134" ht="12.75">
      <c r="A109" s="88" t="s">
        <v>122</v>
      </c>
      <c r="B109" s="29">
        <f>Commerical!B109</f>
        <v>4.061301</v>
      </c>
      <c r="C109" s="41"/>
      <c r="E109" s="41"/>
      <c r="F109" s="41"/>
      <c r="G109" s="235"/>
      <c r="H109" s="41"/>
      <c r="I109" s="205"/>
      <c r="J109" s="205"/>
      <c r="K109" s="205"/>
      <c r="L109" s="618"/>
      <c r="M109" s="626"/>
      <c r="N109" s="205"/>
      <c r="O109" s="205"/>
      <c r="P109" s="205"/>
      <c r="Q109" s="205"/>
      <c r="R109" s="271"/>
      <c r="S109" s="205"/>
      <c r="T109" s="205"/>
      <c r="U109" s="205"/>
      <c r="V109" s="205"/>
      <c r="W109" s="205"/>
      <c r="X109" s="216"/>
      <c r="Y109" s="205"/>
      <c r="Z109" s="205"/>
      <c r="AA109" s="205"/>
      <c r="AB109" s="205"/>
      <c r="AC109" s="38"/>
      <c r="AD109" s="41"/>
      <c r="AE109" s="616"/>
      <c r="AF109" s="205"/>
      <c r="AG109" s="205"/>
      <c r="AH109" s="205"/>
      <c r="AI109" s="205"/>
      <c r="AJ109" s="216"/>
      <c r="AK109" s="205"/>
      <c r="AL109" s="205"/>
      <c r="AM109" s="41"/>
      <c r="AN109" s="41"/>
      <c r="AO109" s="41"/>
      <c r="AP109" s="498"/>
      <c r="AQ109" s="39"/>
      <c r="AR109" s="39"/>
      <c r="AS109" s="205"/>
      <c r="AT109" s="205"/>
      <c r="AU109" s="205"/>
      <c r="AV109" s="235"/>
      <c r="AW109" s="41"/>
      <c r="AX109" s="41"/>
      <c r="AY109" s="41"/>
      <c r="AZ109" s="41"/>
      <c r="BA109" s="41"/>
      <c r="BB109" s="237"/>
      <c r="BC109" s="41"/>
      <c r="BD109" s="41"/>
      <c r="BE109" s="210"/>
      <c r="BF109" s="41"/>
      <c r="BG109" s="41"/>
      <c r="BH109" s="224"/>
      <c r="BI109" s="210"/>
      <c r="BJ109" s="210"/>
      <c r="BK109" s="41"/>
      <c r="BL109" s="286"/>
      <c r="BM109" s="41"/>
      <c r="BN109" s="216"/>
      <c r="BO109" s="205"/>
      <c r="BP109" s="205"/>
      <c r="BQ109" s="205"/>
      <c r="BR109" s="205"/>
      <c r="BS109" s="205"/>
      <c r="BT109" s="216"/>
      <c r="BU109" s="205"/>
      <c r="BV109" s="205"/>
      <c r="BW109" s="205"/>
      <c r="BX109" s="205"/>
      <c r="BY109" s="205"/>
      <c r="BZ109" s="235"/>
      <c r="CA109" s="41"/>
      <c r="CB109" s="41"/>
      <c r="CC109" s="205"/>
      <c r="CD109" s="205"/>
      <c r="CE109" s="400"/>
      <c r="CF109" s="216"/>
      <c r="CG109" s="205"/>
      <c r="CH109" s="205"/>
      <c r="CI109" s="39"/>
      <c r="CJ109" s="286"/>
      <c r="CK109" s="286"/>
      <c r="CL109" s="498"/>
      <c r="CM109" s="39"/>
      <c r="CN109" s="39"/>
      <c r="CO109" s="39"/>
      <c r="CP109" s="205"/>
      <c r="CQ109" s="205"/>
      <c r="CR109" s="282"/>
      <c r="CS109" s="205"/>
      <c r="CT109" s="41"/>
      <c r="CU109" s="41"/>
      <c r="CV109" s="41"/>
      <c r="CW109" s="41"/>
      <c r="CX109" s="237"/>
      <c r="CY109" s="41"/>
      <c r="CZ109" s="41"/>
      <c r="DA109" s="39"/>
      <c r="DB109" s="41"/>
      <c r="DC109" s="41"/>
      <c r="DD109" s="224"/>
      <c r="DE109" s="210"/>
      <c r="DF109" s="39"/>
      <c r="DG109" s="39"/>
      <c r="DH109" s="39"/>
      <c r="DI109" s="39"/>
      <c r="DJ109" s="243"/>
      <c r="DK109" s="39"/>
      <c r="DL109" s="39"/>
      <c r="DM109" s="39"/>
      <c r="DN109" s="39"/>
      <c r="DO109" s="39"/>
      <c r="DP109" s="243"/>
      <c r="DQ109" s="39">
        <f>DK109+Commerical!I109</f>
        <v>189594.41814334862</v>
      </c>
      <c r="DR109" s="39">
        <f>DL109+Commerical!J109</f>
        <v>162263.27474865812</v>
      </c>
      <c r="DS109" s="39">
        <f>DM109+Commerical!K109</f>
        <v>144042.5124855311</v>
      </c>
      <c r="DT109" s="39">
        <f>DN109+Commerical!L109</f>
        <v>142565.1533831154</v>
      </c>
      <c r="DU109" s="39">
        <f>DO109+Commerical!M109</f>
        <v>249427.46179118464</v>
      </c>
      <c r="DV109" s="243">
        <f>DP109+Commerical!N109</f>
        <v>238347.26852306686</v>
      </c>
      <c r="DW109" s="138"/>
      <c r="DX109" s="39"/>
      <c r="DY109" s="38"/>
      <c r="DZ109" s="38"/>
      <c r="EA109" s="546"/>
      <c r="EB109" s="38"/>
      <c r="EC109" s="38"/>
      <c r="ED109" s="38"/>
    </row>
    <row r="110" spans="1:134" ht="12.75">
      <c r="A110" s="88" t="s">
        <v>123</v>
      </c>
      <c r="B110" s="29">
        <f>Commerical!B110</f>
        <v>3.2075340000000003</v>
      </c>
      <c r="C110" s="41"/>
      <c r="E110" s="41"/>
      <c r="F110" s="41"/>
      <c r="G110" s="235"/>
      <c r="H110" s="41"/>
      <c r="I110" s="205"/>
      <c r="J110" s="205"/>
      <c r="K110" s="205"/>
      <c r="L110" s="618"/>
      <c r="M110" s="626"/>
      <c r="N110" s="205"/>
      <c r="O110" s="205"/>
      <c r="P110" s="205"/>
      <c r="Q110" s="205"/>
      <c r="R110" s="271"/>
      <c r="S110" s="205"/>
      <c r="T110" s="205"/>
      <c r="U110" s="205"/>
      <c r="V110" s="205"/>
      <c r="W110" s="205"/>
      <c r="X110" s="216"/>
      <c r="Y110" s="205"/>
      <c r="Z110" s="205"/>
      <c r="AA110" s="205"/>
      <c r="AB110" s="205"/>
      <c r="AC110" s="38"/>
      <c r="AD110" s="41"/>
      <c r="AE110" s="616"/>
      <c r="AF110" s="205"/>
      <c r="AG110" s="205"/>
      <c r="AH110" s="205"/>
      <c r="AI110" s="205"/>
      <c r="AJ110" s="216"/>
      <c r="AK110" s="205"/>
      <c r="AL110" s="205"/>
      <c r="AM110" s="41"/>
      <c r="AN110" s="41"/>
      <c r="AO110" s="41"/>
      <c r="AP110" s="498"/>
      <c r="AQ110" s="39"/>
      <c r="AR110" s="39"/>
      <c r="AS110" s="205"/>
      <c r="AT110" s="205"/>
      <c r="AU110" s="205"/>
      <c r="AV110" s="235"/>
      <c r="AW110" s="41"/>
      <c r="AX110" s="41"/>
      <c r="AY110" s="41"/>
      <c r="AZ110" s="41"/>
      <c r="BA110" s="41"/>
      <c r="BB110" s="237"/>
      <c r="BC110" s="41"/>
      <c r="BD110" s="41"/>
      <c r="BE110" s="210"/>
      <c r="BF110" s="41"/>
      <c r="BG110" s="41"/>
      <c r="BH110" s="224"/>
      <c r="BI110" s="210"/>
      <c r="BJ110" s="210"/>
      <c r="BK110" s="41"/>
      <c r="BL110" s="286"/>
      <c r="BM110" s="41"/>
      <c r="BN110" s="216"/>
      <c r="BO110" s="205"/>
      <c r="BP110" s="205"/>
      <c r="BQ110" s="205"/>
      <c r="BR110" s="205"/>
      <c r="BS110" s="205"/>
      <c r="BT110" s="216"/>
      <c r="BU110" s="205"/>
      <c r="BV110" s="205"/>
      <c r="BW110" s="205"/>
      <c r="BX110" s="205"/>
      <c r="BY110" s="205"/>
      <c r="BZ110" s="235"/>
      <c r="CA110" s="41"/>
      <c r="CB110" s="41"/>
      <c r="CC110" s="205"/>
      <c r="CD110" s="205"/>
      <c r="CE110" s="400"/>
      <c r="CF110" s="216"/>
      <c r="CG110" s="205"/>
      <c r="CH110" s="205"/>
      <c r="CI110" s="39"/>
      <c r="CJ110" s="286"/>
      <c r="CK110" s="286"/>
      <c r="CL110" s="498"/>
      <c r="CM110" s="39"/>
      <c r="CN110" s="39"/>
      <c r="CO110" s="39"/>
      <c r="CP110" s="205"/>
      <c r="CQ110" s="205"/>
      <c r="CR110" s="282"/>
      <c r="CS110" s="205"/>
      <c r="CT110" s="41"/>
      <c r="CU110" s="41"/>
      <c r="CV110" s="41"/>
      <c r="CW110" s="41"/>
      <c r="CX110" s="237"/>
      <c r="CY110" s="41"/>
      <c r="CZ110" s="41"/>
      <c r="DA110" s="39"/>
      <c r="DB110" s="41"/>
      <c r="DC110" s="41"/>
      <c r="DD110" s="224"/>
      <c r="DE110" s="210"/>
      <c r="DF110" s="39"/>
      <c r="DG110" s="39"/>
      <c r="DH110" s="39"/>
      <c r="DI110" s="39"/>
      <c r="DJ110" s="243"/>
      <c r="DK110" s="39"/>
      <c r="DL110" s="39"/>
      <c r="DM110" s="39"/>
      <c r="DN110" s="39"/>
      <c r="DO110" s="39"/>
      <c r="DP110" s="243"/>
      <c r="DQ110" s="39">
        <f>DK110+Commerical!I110</f>
        <v>30241.30063781085</v>
      </c>
      <c r="DR110" s="39">
        <f>DL110+Commerical!J110</f>
        <v>41153.1101462993</v>
      </c>
      <c r="DS110" s="39">
        <f>DM110+Commerical!K110</f>
        <v>45517.83394969469</v>
      </c>
      <c r="DT110" s="39">
        <f>DN110+Commerical!L110</f>
        <v>27747.172750156347</v>
      </c>
      <c r="DU110" s="39">
        <f>DO110+Commerical!M110</f>
        <v>23070.682960804155</v>
      </c>
      <c r="DV110" s="243">
        <f>DP110+Commerical!N110</f>
        <v>26811.874792285907</v>
      </c>
      <c r="DW110" s="138"/>
      <c r="DX110" s="39"/>
      <c r="DY110" s="38"/>
      <c r="DZ110" s="38"/>
      <c r="EA110" s="546"/>
      <c r="EB110" s="38"/>
      <c r="EC110" s="38"/>
      <c r="ED110" s="38"/>
    </row>
    <row r="111" spans="1:134" ht="12.75">
      <c r="A111" s="88" t="s">
        <v>646</v>
      </c>
      <c r="B111" s="29">
        <f>SUM(Commerical!C109:H110)*1000/SUM(Commerical!I109:N110)</f>
        <v>3.93554708263534</v>
      </c>
      <c r="C111" s="41"/>
      <c r="E111" s="398"/>
      <c r="F111" s="398">
        <v>48</v>
      </c>
      <c r="G111" s="494">
        <v>155</v>
      </c>
      <c r="H111" s="401"/>
      <c r="I111" s="205"/>
      <c r="J111" s="205"/>
      <c r="K111" s="205"/>
      <c r="L111" s="618"/>
      <c r="M111" s="626"/>
      <c r="N111" s="205"/>
      <c r="O111" s="205"/>
      <c r="P111" s="205"/>
      <c r="Q111" s="205"/>
      <c r="R111" s="271">
        <v>9</v>
      </c>
      <c r="S111" s="205"/>
      <c r="T111" s="205"/>
      <c r="U111" s="205"/>
      <c r="V111" s="205"/>
      <c r="W111" s="205"/>
      <c r="X111" s="216"/>
      <c r="Y111" s="205"/>
      <c r="Z111" s="205"/>
      <c r="AA111" s="205"/>
      <c r="AB111" s="205"/>
      <c r="AC111" s="38"/>
      <c r="AD111" s="41"/>
      <c r="AE111" s="616"/>
      <c r="AF111" s="205"/>
      <c r="AG111" s="205"/>
      <c r="AH111" s="205"/>
      <c r="AI111" s="205"/>
      <c r="AJ111" s="216"/>
      <c r="AK111" s="205"/>
      <c r="AL111" s="205"/>
      <c r="AM111" s="41"/>
      <c r="AN111" s="41"/>
      <c r="AO111" s="41"/>
      <c r="AP111" s="498"/>
      <c r="AQ111" s="39"/>
      <c r="AR111" s="39"/>
      <c r="AS111" s="205"/>
      <c r="AT111" s="205"/>
      <c r="AU111" s="205"/>
      <c r="AV111" s="235"/>
      <c r="AW111" s="41">
        <f>(C111+H111+M111+S111+Y111+(AE111/0.212)+(AK111/0.55)+(AQ111/0.635))</f>
        <v>0</v>
      </c>
      <c r="AX111" s="41">
        <f t="shared" si="75"/>
        <v>0</v>
      </c>
      <c r="AY111" s="41">
        <f t="shared" si="76"/>
        <v>0</v>
      </c>
      <c r="AZ111" s="41">
        <f>(F111+K111+P111+V111+AB111+(AH111/0.212)+(AN111/0.55)+(AT111/0.635))</f>
        <v>48</v>
      </c>
      <c r="BA111" s="41">
        <f>(G111+L111+Q111+W111+AC111+(AI111/0.212)+(AO111/0.55)+(AU111/0.635))</f>
        <v>155</v>
      </c>
      <c r="BB111" s="237">
        <f>(R111+X111+AD111+(AJ111/0.212)+(AP111/0.55)+(AV111/0.635))</f>
        <v>9</v>
      </c>
      <c r="BC111" s="41">
        <f aca="true" t="shared" si="134" ref="BC111:BH111">AW111*1000/0.45359237/$B111</f>
        <v>0</v>
      </c>
      <c r="BD111" s="41">
        <f t="shared" si="134"/>
        <v>0</v>
      </c>
      <c r="BE111" s="41">
        <f t="shared" si="134"/>
        <v>0</v>
      </c>
      <c r="BF111" s="41">
        <f t="shared" si="134"/>
        <v>26888.73582929677</v>
      </c>
      <c r="BG111" s="41">
        <f t="shared" si="134"/>
        <v>86828.20944877081</v>
      </c>
      <c r="BH111" s="237">
        <f t="shared" si="134"/>
        <v>5041.637967993144</v>
      </c>
      <c r="BI111" s="41"/>
      <c r="BJ111" s="41"/>
      <c r="BK111" s="41"/>
      <c r="BL111" s="286"/>
      <c r="BM111" s="41"/>
      <c r="BN111" s="216"/>
      <c r="BO111" s="205"/>
      <c r="BP111" s="205"/>
      <c r="BQ111" s="205"/>
      <c r="BR111" s="205"/>
      <c r="BS111" s="205"/>
      <c r="BT111" s="216"/>
      <c r="BU111" s="205"/>
      <c r="BV111" s="205"/>
      <c r="BW111" s="205"/>
      <c r="BX111" s="205"/>
      <c r="BY111" s="205"/>
      <c r="BZ111" s="235"/>
      <c r="CA111" s="41"/>
      <c r="CB111" s="41"/>
      <c r="CC111" s="205"/>
      <c r="CD111" s="205"/>
      <c r="CE111" s="205"/>
      <c r="CF111" s="216"/>
      <c r="CG111" s="205"/>
      <c r="CH111" s="205"/>
      <c r="CI111" s="39"/>
      <c r="CJ111" s="41"/>
      <c r="CK111" s="41"/>
      <c r="CL111" s="498"/>
      <c r="CM111" s="39"/>
      <c r="CN111" s="39"/>
      <c r="CO111" s="39"/>
      <c r="CP111" s="205"/>
      <c r="CQ111" s="205"/>
      <c r="CR111" s="282"/>
      <c r="CS111" s="205"/>
      <c r="CT111" s="41"/>
      <c r="CU111" s="41"/>
      <c r="CV111" s="41"/>
      <c r="CW111" s="41"/>
      <c r="CX111" s="237"/>
      <c r="CY111" s="41"/>
      <c r="CZ111" s="41"/>
      <c r="DA111" s="39"/>
      <c r="DB111" s="41"/>
      <c r="DC111" s="41"/>
      <c r="DD111" s="237"/>
      <c r="DE111" s="39">
        <f aca="true" t="shared" si="135" ref="DE111:DP111">AW111-CS111</f>
        <v>0</v>
      </c>
      <c r="DF111" s="39">
        <f t="shared" si="135"/>
        <v>0</v>
      </c>
      <c r="DG111" s="39">
        <f t="shared" si="135"/>
        <v>0</v>
      </c>
      <c r="DH111" s="39">
        <f t="shared" si="135"/>
        <v>48</v>
      </c>
      <c r="DI111" s="39">
        <f t="shared" si="135"/>
        <v>155</v>
      </c>
      <c r="DJ111" s="243">
        <f t="shared" si="135"/>
        <v>9</v>
      </c>
      <c r="DK111" s="39">
        <f t="shared" si="135"/>
        <v>0</v>
      </c>
      <c r="DL111" s="39">
        <f t="shared" si="135"/>
        <v>0</v>
      </c>
      <c r="DM111" s="39">
        <f t="shared" si="135"/>
        <v>0</v>
      </c>
      <c r="DN111" s="39">
        <f t="shared" si="135"/>
        <v>26888.73582929677</v>
      </c>
      <c r="DO111" s="39">
        <f t="shared" si="135"/>
        <v>86828.20944877081</v>
      </c>
      <c r="DP111" s="243">
        <f t="shared" si="135"/>
        <v>5041.637967993144</v>
      </c>
      <c r="DQ111" s="39">
        <f>DK111+Commerical!I111</f>
        <v>0</v>
      </c>
      <c r="DR111" s="39">
        <f>DL111+Commerical!J111</f>
        <v>0</v>
      </c>
      <c r="DS111" s="39">
        <f>DM111+Commerical!K112</f>
        <v>0</v>
      </c>
      <c r="DT111" s="39">
        <f>DN111+Commerical!L112</f>
        <v>26888.73582929677</v>
      </c>
      <c r="DU111" s="39">
        <f>DO111+Commerical!M112</f>
        <v>86828.20944877081</v>
      </c>
      <c r="DV111" s="243">
        <f>DP111+Commerical!N112</f>
        <v>5041.637967993144</v>
      </c>
      <c r="DW111" s="138"/>
      <c r="DX111" s="39"/>
      <c r="DY111" s="39"/>
      <c r="DZ111" s="38"/>
      <c r="EA111" s="546"/>
      <c r="EB111" s="39"/>
      <c r="EC111" s="38"/>
      <c r="ED111" s="38"/>
    </row>
    <row r="112" spans="1:134" ht="12.75">
      <c r="A112" s="88" t="s">
        <v>4</v>
      </c>
      <c r="B112" s="29">
        <f>B111</f>
        <v>3.93554708263534</v>
      </c>
      <c r="C112" s="41">
        <v>14</v>
      </c>
      <c r="D112" s="397">
        <v>26</v>
      </c>
      <c r="E112" s="398">
        <v>6</v>
      </c>
      <c r="F112" s="398"/>
      <c r="G112" s="494"/>
      <c r="H112" s="401"/>
      <c r="I112" s="205"/>
      <c r="J112" s="205"/>
      <c r="K112" s="205"/>
      <c r="L112" s="618"/>
      <c r="M112" s="626"/>
      <c r="N112" s="205"/>
      <c r="O112" s="205"/>
      <c r="P112" s="205"/>
      <c r="Q112" s="205"/>
      <c r="R112" s="271"/>
      <c r="S112" s="205"/>
      <c r="T112" s="205"/>
      <c r="U112" s="205"/>
      <c r="V112" s="205"/>
      <c r="W112" s="205"/>
      <c r="X112" s="216"/>
      <c r="Y112" s="205"/>
      <c r="Z112" s="205"/>
      <c r="AA112" s="205"/>
      <c r="AB112" s="205"/>
      <c r="AC112" s="38"/>
      <c r="AD112" s="41"/>
      <c r="AE112" s="616"/>
      <c r="AF112" s="205"/>
      <c r="AG112" s="205"/>
      <c r="AH112" s="205"/>
      <c r="AI112" s="205"/>
      <c r="AJ112" s="216"/>
      <c r="AK112" s="205"/>
      <c r="AL112" s="205"/>
      <c r="AM112" s="41"/>
      <c r="AN112" s="41"/>
      <c r="AO112" s="41"/>
      <c r="AP112" s="498"/>
      <c r="AQ112" s="39"/>
      <c r="AR112" s="39"/>
      <c r="AS112" s="205"/>
      <c r="AT112" s="205"/>
      <c r="AU112" s="205"/>
      <c r="AV112" s="235"/>
      <c r="AW112" s="41">
        <f>(C112+H112+M112+S112+Y112+(AE112/0.212)+(AK112/0.55)+(AQ112/0.635))</f>
        <v>14</v>
      </c>
      <c r="AX112" s="41">
        <f t="shared" si="75"/>
        <v>26</v>
      </c>
      <c r="AY112" s="41">
        <f t="shared" si="76"/>
        <v>6</v>
      </c>
      <c r="AZ112" s="41"/>
      <c r="BA112" s="41"/>
      <c r="BB112" s="237"/>
      <c r="BC112" s="41"/>
      <c r="BD112" s="41"/>
      <c r="BE112" s="210"/>
      <c r="BF112" s="41"/>
      <c r="BG112" s="41"/>
      <c r="BH112" s="237"/>
      <c r="BI112" s="41"/>
      <c r="BJ112" s="41"/>
      <c r="BK112" s="41"/>
      <c r="BL112" s="41"/>
      <c r="BM112" s="41"/>
      <c r="BN112" s="216"/>
      <c r="BO112" s="205"/>
      <c r="BP112" s="205"/>
      <c r="BQ112" s="205"/>
      <c r="BR112" s="205"/>
      <c r="BS112" s="205"/>
      <c r="BT112" s="216"/>
      <c r="BU112" s="205"/>
      <c r="BV112" s="205"/>
      <c r="BW112" s="205"/>
      <c r="BX112" s="205"/>
      <c r="BY112" s="205"/>
      <c r="BZ112" s="235"/>
      <c r="CA112" s="41"/>
      <c r="CB112" s="41"/>
      <c r="CC112" s="205"/>
      <c r="CD112" s="205"/>
      <c r="CE112" s="205"/>
      <c r="CF112" s="216"/>
      <c r="CG112" s="205"/>
      <c r="CH112" s="205"/>
      <c r="CI112" s="39"/>
      <c r="CJ112" s="41"/>
      <c r="CK112" s="41"/>
      <c r="CL112" s="498"/>
      <c r="CM112" s="39"/>
      <c r="CN112" s="39"/>
      <c r="CO112" s="39"/>
      <c r="CP112" s="205"/>
      <c r="CQ112" s="205"/>
      <c r="CR112" s="282"/>
      <c r="CS112" s="205"/>
      <c r="CT112" s="41"/>
      <c r="CU112" s="41"/>
      <c r="CV112" s="41"/>
      <c r="CW112" s="41"/>
      <c r="CX112" s="237"/>
      <c r="CY112" s="41"/>
      <c r="CZ112" s="41"/>
      <c r="DA112" s="39"/>
      <c r="DB112" s="41"/>
      <c r="DC112" s="41"/>
      <c r="DD112" s="237"/>
      <c r="DE112" s="41"/>
      <c r="DF112" s="39"/>
      <c r="DG112" s="39"/>
      <c r="DH112" s="39"/>
      <c r="DI112" s="39"/>
      <c r="DJ112" s="243"/>
      <c r="DK112" s="39"/>
      <c r="DL112" s="39"/>
      <c r="DM112" s="39"/>
      <c r="DN112" s="39"/>
      <c r="DO112" s="39"/>
      <c r="DP112" s="243"/>
      <c r="DQ112" s="39"/>
      <c r="DR112" s="39"/>
      <c r="DS112" s="39"/>
      <c r="DT112" s="39"/>
      <c r="DU112" s="39"/>
      <c r="DV112" s="243"/>
      <c r="DW112" s="39"/>
      <c r="DX112" s="39"/>
      <c r="DY112" s="39"/>
      <c r="DZ112" s="38"/>
      <c r="EA112" s="546"/>
      <c r="EB112" s="39"/>
      <c r="EC112" s="38"/>
      <c r="ED112" s="38"/>
    </row>
    <row r="113" spans="1:134" ht="12.75">
      <c r="A113" s="88" t="s">
        <v>124</v>
      </c>
      <c r="B113" s="29">
        <f>Commerical!B113</f>
        <v>24.408508866666665</v>
      </c>
      <c r="C113" s="41">
        <v>176</v>
      </c>
      <c r="D113" s="41">
        <v>165</v>
      </c>
      <c r="E113" s="397">
        <v>431</v>
      </c>
      <c r="F113" s="397">
        <v>1095</v>
      </c>
      <c r="G113" s="495">
        <v>1354</v>
      </c>
      <c r="H113" s="401"/>
      <c r="I113" s="205"/>
      <c r="J113" s="205"/>
      <c r="K113" s="205"/>
      <c r="L113" s="618"/>
      <c r="M113" s="626"/>
      <c r="N113" s="205"/>
      <c r="O113" s="205"/>
      <c r="P113" s="205"/>
      <c r="Q113" s="205"/>
      <c r="R113" s="271">
        <v>1524</v>
      </c>
      <c r="S113" s="205"/>
      <c r="T113" s="205"/>
      <c r="U113" s="205"/>
      <c r="V113" s="205"/>
      <c r="W113" s="205"/>
      <c r="X113" s="216"/>
      <c r="Y113" s="205"/>
      <c r="Z113" s="205"/>
      <c r="AA113" s="205"/>
      <c r="AB113" s="205"/>
      <c r="AC113" s="38"/>
      <c r="AD113" s="41"/>
      <c r="AE113" s="616"/>
      <c r="AF113" s="205"/>
      <c r="AG113" s="205"/>
      <c r="AH113" s="205"/>
      <c r="AI113" s="205"/>
      <c r="AJ113" s="216"/>
      <c r="AK113" s="205"/>
      <c r="AL113" s="205"/>
      <c r="AM113" s="41"/>
      <c r="AN113" s="41"/>
      <c r="AO113" s="41"/>
      <c r="AP113" s="498"/>
      <c r="AQ113" s="39"/>
      <c r="AR113" s="39"/>
      <c r="AS113" s="205"/>
      <c r="AT113" s="205"/>
      <c r="AU113" s="205"/>
      <c r="AV113" s="235"/>
      <c r="AW113" s="41">
        <f>(C113+H113+M113+S113+Y113+(AE113/0.212)+(AK113/0.55)+(AQ113/0.635))</f>
        <v>176</v>
      </c>
      <c r="AX113" s="41">
        <f t="shared" si="75"/>
        <v>165</v>
      </c>
      <c r="AY113" s="41">
        <f t="shared" si="76"/>
        <v>431</v>
      </c>
      <c r="AZ113" s="41">
        <f>(F113+K113+P113+V113+AB113+(AH113/0.212)+(AN113/0.55)+(AT113/0.635))</f>
        <v>1095</v>
      </c>
      <c r="BA113" s="41">
        <f>(G113+L113+Q113+W113+AC113+(AI113/0.212)+(AO113/0.55)+(AU113/0.635))</f>
        <v>1354</v>
      </c>
      <c r="BB113" s="237">
        <f>(R113+X113+AD113+(AJ113/0.212)+(AP113/0.55)+(AV113/0.635))</f>
        <v>1524</v>
      </c>
      <c r="BC113" s="41">
        <f aca="true" t="shared" si="136" ref="BC113:BH113">AW113*1000/0.45359237/$B113</f>
        <v>15896.652415964376</v>
      </c>
      <c r="BD113" s="41">
        <f t="shared" si="136"/>
        <v>14903.111639966603</v>
      </c>
      <c r="BE113" s="41">
        <f t="shared" si="136"/>
        <v>38928.73404136731</v>
      </c>
      <c r="BF113" s="41">
        <f t="shared" si="136"/>
        <v>98902.468156142</v>
      </c>
      <c r="BG113" s="41">
        <f t="shared" si="136"/>
        <v>122295.83733645322</v>
      </c>
      <c r="BH113" s="237">
        <f t="shared" si="136"/>
        <v>137650.55842005517</v>
      </c>
      <c r="BI113" s="41">
        <v>4355</v>
      </c>
      <c r="BJ113" s="41">
        <v>3269</v>
      </c>
      <c r="BK113" s="41">
        <v>2720</v>
      </c>
      <c r="BL113" s="401">
        <v>6754</v>
      </c>
      <c r="BM113" s="401">
        <v>3774</v>
      </c>
      <c r="BN113" s="216">
        <v>3060</v>
      </c>
      <c r="BO113" s="205"/>
      <c r="BP113" s="205"/>
      <c r="BQ113" s="205"/>
      <c r="BR113" s="205"/>
      <c r="BS113" s="205"/>
      <c r="BT113" s="216"/>
      <c r="BU113" s="205"/>
      <c r="BV113" s="205"/>
      <c r="BW113" s="205"/>
      <c r="BX113" s="205"/>
      <c r="BY113" s="205"/>
      <c r="BZ113" s="235"/>
      <c r="CA113" s="41"/>
      <c r="CB113" s="41"/>
      <c r="CC113" s="205"/>
      <c r="CD113" s="205"/>
      <c r="CE113" s="205"/>
      <c r="CF113" s="216"/>
      <c r="CG113" s="205"/>
      <c r="CH113" s="205"/>
      <c r="CI113" s="39"/>
      <c r="CJ113" s="41"/>
      <c r="CK113" s="41"/>
      <c r="CL113" s="498"/>
      <c r="CM113" s="39"/>
      <c r="CN113" s="39"/>
      <c r="CO113" s="39"/>
      <c r="CP113" s="205"/>
      <c r="CQ113" s="205"/>
      <c r="CR113" s="282"/>
      <c r="CS113" s="41">
        <f aca="true" t="shared" si="137" ref="CS113:CX113">(BI113+BO113+BU113+(CA113/0.212)+(CG113/0.55)+(CM113/0.635))</f>
        <v>4355</v>
      </c>
      <c r="CT113" s="41">
        <f t="shared" si="137"/>
        <v>3269</v>
      </c>
      <c r="CU113" s="41">
        <f t="shared" si="137"/>
        <v>2720</v>
      </c>
      <c r="CV113" s="41">
        <f t="shared" si="137"/>
        <v>6754</v>
      </c>
      <c r="CW113" s="41">
        <f t="shared" si="137"/>
        <v>3774</v>
      </c>
      <c r="CX113" s="237">
        <f t="shared" si="137"/>
        <v>3060</v>
      </c>
      <c r="CY113" s="41">
        <f aca="true" t="shared" si="138" ref="CY113:DD113">CS113*1000/0.45359237/$B113</f>
        <v>393351.8254063912</v>
      </c>
      <c r="CZ113" s="41">
        <f t="shared" si="138"/>
        <v>295262.25424879283</v>
      </c>
      <c r="DA113" s="41">
        <f t="shared" si="138"/>
        <v>245675.53733763125</v>
      </c>
      <c r="DB113" s="41">
        <f t="shared" si="138"/>
        <v>610034.0364626329</v>
      </c>
      <c r="DC113" s="41">
        <f t="shared" si="138"/>
        <v>340874.80805596337</v>
      </c>
      <c r="DD113" s="237">
        <f t="shared" si="138"/>
        <v>276384.97950483515</v>
      </c>
      <c r="DE113" s="39">
        <f aca="true" t="shared" si="139" ref="DE113:DP113">AW113-CS113</f>
        <v>-4179</v>
      </c>
      <c r="DF113" s="39">
        <f t="shared" si="139"/>
        <v>-3104</v>
      </c>
      <c r="DG113" s="39">
        <f t="shared" si="139"/>
        <v>-2289</v>
      </c>
      <c r="DH113" s="39">
        <f t="shared" si="139"/>
        <v>-5659</v>
      </c>
      <c r="DI113" s="39">
        <f t="shared" si="139"/>
        <v>-2420</v>
      </c>
      <c r="DJ113" s="243">
        <f t="shared" si="139"/>
        <v>-1536</v>
      </c>
      <c r="DK113" s="39">
        <f t="shared" si="139"/>
        <v>-377455.17299042677</v>
      </c>
      <c r="DL113" s="39">
        <f t="shared" si="139"/>
        <v>-280359.1426088262</v>
      </c>
      <c r="DM113" s="39">
        <f t="shared" si="139"/>
        <v>-206746.80329626394</v>
      </c>
      <c r="DN113" s="39">
        <f t="shared" si="139"/>
        <v>-511131.56830649095</v>
      </c>
      <c r="DO113" s="39">
        <f t="shared" si="139"/>
        <v>-218578.97071951017</v>
      </c>
      <c r="DP113" s="243">
        <f t="shared" si="139"/>
        <v>-138734.42108477998</v>
      </c>
      <c r="DQ113" s="39">
        <f>DK113+Commerical!I113</f>
        <v>680454.5969612993</v>
      </c>
      <c r="DR113" s="39">
        <f>DL113+Commerical!J113</f>
        <v>408703.8432488952</v>
      </c>
      <c r="DS113" s="39">
        <f>DM113+Commerical!K113</f>
        <v>425901.4295127577</v>
      </c>
      <c r="DT113" s="39">
        <f>DN113+Commerical!L113</f>
        <v>-244.15326125721913</v>
      </c>
      <c r="DU113" s="39">
        <f>DO113+Commerical!M113</f>
        <v>168335.2833051239</v>
      </c>
      <c r="DV113" s="243">
        <f>DP113+Commerical!N113</f>
        <v>172673.37697126027</v>
      </c>
      <c r="DW113" s="39"/>
      <c r="DX113" s="39"/>
      <c r="DY113" s="38"/>
      <c r="DZ113" s="38"/>
      <c r="EA113" s="546"/>
      <c r="EB113" s="38"/>
      <c r="EC113" s="38"/>
      <c r="ED113" s="38"/>
    </row>
    <row r="114" spans="1:134" ht="12.75">
      <c r="A114" s="88" t="s">
        <v>125</v>
      </c>
      <c r="B114" s="29">
        <f>Commerical!B114</f>
        <v>35</v>
      </c>
      <c r="C114" s="41"/>
      <c r="D114" s="41"/>
      <c r="E114" s="41"/>
      <c r="F114" s="41"/>
      <c r="G114" s="235"/>
      <c r="H114" s="41"/>
      <c r="I114" s="205"/>
      <c r="J114" s="205"/>
      <c r="K114" s="205"/>
      <c r="L114" s="618"/>
      <c r="M114" s="626"/>
      <c r="N114" s="205"/>
      <c r="O114" s="205"/>
      <c r="P114" s="205"/>
      <c r="Q114" s="205"/>
      <c r="R114" s="271"/>
      <c r="S114" s="205"/>
      <c r="T114" s="205"/>
      <c r="U114" s="205"/>
      <c r="V114" s="205"/>
      <c r="W114" s="205"/>
      <c r="X114" s="216"/>
      <c r="Y114" s="205"/>
      <c r="Z114" s="205"/>
      <c r="AA114" s="205"/>
      <c r="AB114" s="205" t="s">
        <v>753</v>
      </c>
      <c r="AC114" s="38"/>
      <c r="AD114" s="41"/>
      <c r="AE114" s="616"/>
      <c r="AF114" s="205"/>
      <c r="AG114" s="205"/>
      <c r="AH114" s="205"/>
      <c r="AI114" s="205"/>
      <c r="AJ114" s="216"/>
      <c r="AK114" s="205"/>
      <c r="AL114" s="205"/>
      <c r="AM114" s="41"/>
      <c r="AN114" s="41"/>
      <c r="AO114" s="41"/>
      <c r="AP114" s="498"/>
      <c r="AQ114" s="39"/>
      <c r="AR114" s="39"/>
      <c r="AS114" s="205"/>
      <c r="AT114" s="205"/>
      <c r="AU114" s="205"/>
      <c r="AV114" s="235"/>
      <c r="AW114" s="41"/>
      <c r="AX114" s="41"/>
      <c r="AY114" s="41"/>
      <c r="AZ114" s="41"/>
      <c r="BA114" s="41"/>
      <c r="BB114" s="237"/>
      <c r="BC114" s="41"/>
      <c r="BD114" s="41"/>
      <c r="BE114" s="210"/>
      <c r="BF114" s="41"/>
      <c r="BG114" s="41"/>
      <c r="BH114" s="224"/>
      <c r="BI114" s="210"/>
      <c r="BJ114" s="210"/>
      <c r="BK114" s="41"/>
      <c r="BL114" s="286"/>
      <c r="BM114" s="41"/>
      <c r="BN114" s="216"/>
      <c r="BO114" s="205"/>
      <c r="BP114" s="205"/>
      <c r="BQ114" s="205"/>
      <c r="BR114" s="205"/>
      <c r="BS114" s="205"/>
      <c r="BT114" s="216"/>
      <c r="BU114" s="205"/>
      <c r="BV114" s="205"/>
      <c r="BW114" s="205"/>
      <c r="BX114" s="205"/>
      <c r="BY114" s="205"/>
      <c r="BZ114" s="235"/>
      <c r="CA114" s="41"/>
      <c r="CB114" s="41"/>
      <c r="CC114" s="205"/>
      <c r="CD114" s="205"/>
      <c r="CE114" s="205"/>
      <c r="CF114" s="216"/>
      <c r="CG114" s="205"/>
      <c r="CH114" s="205"/>
      <c r="CI114" s="39"/>
      <c r="CJ114" s="41"/>
      <c r="CK114" s="41"/>
      <c r="CL114" s="498"/>
      <c r="CM114" s="39"/>
      <c r="CN114" s="39"/>
      <c r="CO114" s="39"/>
      <c r="CP114" s="205"/>
      <c r="CQ114" s="205"/>
      <c r="CR114" s="282"/>
      <c r="CS114" s="205"/>
      <c r="CT114" s="41"/>
      <c r="CU114" s="41"/>
      <c r="CV114" s="41"/>
      <c r="CW114" s="41"/>
      <c r="CX114" s="237"/>
      <c r="CY114" s="41"/>
      <c r="CZ114" s="41"/>
      <c r="DA114" s="39"/>
      <c r="DB114" s="41"/>
      <c r="DC114" s="41"/>
      <c r="DD114" s="224"/>
      <c r="DE114" s="210"/>
      <c r="DF114" s="39"/>
      <c r="DG114" s="39"/>
      <c r="DH114" s="39"/>
      <c r="DI114" s="39"/>
      <c r="DJ114" s="243"/>
      <c r="DK114" s="39"/>
      <c r="DL114" s="39"/>
      <c r="DM114" s="39"/>
      <c r="DN114" s="39"/>
      <c r="DO114" s="39"/>
      <c r="DP114" s="243"/>
      <c r="DQ114" s="39">
        <f>DK114+Commerical!I114</f>
        <v>105771.42857142857</v>
      </c>
      <c r="DR114" s="39">
        <f>DL114+Commerical!J114</f>
        <v>107600</v>
      </c>
      <c r="DS114" s="39">
        <f>DM114+Commerical!K114</f>
        <v>114171.42857142857</v>
      </c>
      <c r="DT114" s="39">
        <f>DN114+Commerical!L114</f>
        <v>117228.57142857143</v>
      </c>
      <c r="DU114" s="39">
        <f>DO114+Commerical!M114</f>
        <v>161228.57142857142</v>
      </c>
      <c r="DV114" s="243">
        <f>DP114+Commerical!N114</f>
        <v>228600</v>
      </c>
      <c r="DW114" s="39"/>
      <c r="DX114" s="39"/>
      <c r="DY114" s="39"/>
      <c r="DZ114" s="38"/>
      <c r="EA114" s="546"/>
      <c r="EB114" s="39"/>
      <c r="EC114" s="38"/>
      <c r="ED114" s="38"/>
    </row>
    <row r="115" spans="1:134" ht="12.75">
      <c r="A115" s="88" t="s">
        <v>755</v>
      </c>
      <c r="B115" s="29"/>
      <c r="C115" s="41"/>
      <c r="D115" s="41"/>
      <c r="E115" s="41"/>
      <c r="F115" s="41"/>
      <c r="G115" s="235"/>
      <c r="H115" s="41"/>
      <c r="I115" s="205"/>
      <c r="J115" s="205"/>
      <c r="K115" s="205"/>
      <c r="L115" s="618"/>
      <c r="M115" s="626"/>
      <c r="N115" s="205"/>
      <c r="O115" s="205"/>
      <c r="P115" s="205"/>
      <c r="Q115" s="205"/>
      <c r="R115" s="271"/>
      <c r="S115" s="205"/>
      <c r="T115" s="205"/>
      <c r="U115" s="205"/>
      <c r="V115" s="205"/>
      <c r="W115" s="205"/>
      <c r="X115" s="216"/>
      <c r="Y115" s="205"/>
      <c r="Z115" s="205"/>
      <c r="AA115" s="205"/>
      <c r="AB115" s="205"/>
      <c r="AC115" s="38"/>
      <c r="AD115" s="41"/>
      <c r="AE115" s="616">
        <v>58</v>
      </c>
      <c r="AF115" s="400">
        <v>34</v>
      </c>
      <c r="AG115" s="400">
        <v>21</v>
      </c>
      <c r="AH115" s="400">
        <v>29</v>
      </c>
      <c r="AI115" s="400">
        <v>29</v>
      </c>
      <c r="AJ115" s="216"/>
      <c r="AK115" s="205"/>
      <c r="AL115" s="205"/>
      <c r="AM115" s="41"/>
      <c r="AN115" s="41"/>
      <c r="AO115" s="41"/>
      <c r="AP115" s="498"/>
      <c r="AQ115" s="39"/>
      <c r="AR115" s="39"/>
      <c r="AS115" s="205"/>
      <c r="AT115" s="205"/>
      <c r="AU115" s="205"/>
      <c r="AV115" s="235"/>
      <c r="AW115" s="41">
        <f>(C115+H115+M115+S115+Y115+(AE115/0.212)+(AK115/0.55)+(AQ115/0.635))</f>
        <v>273.5849056603774</v>
      </c>
      <c r="AX115" s="41">
        <f t="shared" si="75"/>
        <v>160.37735849056605</v>
      </c>
      <c r="AY115" s="41">
        <f t="shared" si="76"/>
        <v>99.05660377358491</v>
      </c>
      <c r="AZ115" s="41">
        <f>(F115+K115+P115+V115+AB115+(AH115/0.212)+(AN115/0.55)+(AT115/0.635))</f>
        <v>136.7924528301887</v>
      </c>
      <c r="BA115" s="41">
        <f>(G115+L115+Q115+W115+AC115+(AI115/0.212)+(AO115/0.55)+(AU115/0.635))</f>
        <v>136.7924528301887</v>
      </c>
      <c r="BB115" s="237">
        <f>(R115+X115+AD115+(AJ115/0.212)+(AP115/0.55)+(AV115/0.635))</f>
        <v>0</v>
      </c>
      <c r="BC115" s="41"/>
      <c r="BD115" s="41"/>
      <c r="BE115" s="210"/>
      <c r="BF115" s="41"/>
      <c r="BG115" s="41"/>
      <c r="BH115" s="224"/>
      <c r="BI115" s="210"/>
      <c r="BJ115" s="210"/>
      <c r="BK115" s="41"/>
      <c r="BL115" s="286"/>
      <c r="BM115" s="41"/>
      <c r="BN115" s="216"/>
      <c r="BO115" s="205"/>
      <c r="BP115" s="205"/>
      <c r="BQ115" s="205"/>
      <c r="BR115" s="205"/>
      <c r="BS115" s="205"/>
      <c r="BT115" s="216"/>
      <c r="BU115" s="205"/>
      <c r="BV115" s="205"/>
      <c r="BW115" s="205"/>
      <c r="BX115" s="205"/>
      <c r="BY115" s="205"/>
      <c r="BZ115" s="235"/>
      <c r="CA115" s="41">
        <v>15</v>
      </c>
      <c r="CB115" s="41">
        <v>36</v>
      </c>
      <c r="CC115" s="205">
        <v>56</v>
      </c>
      <c r="CD115" s="400">
        <v>11</v>
      </c>
      <c r="CE115" s="400">
        <v>19</v>
      </c>
      <c r="CF115" s="216"/>
      <c r="CG115" s="205"/>
      <c r="CH115" s="205"/>
      <c r="CI115" s="39"/>
      <c r="CJ115" s="41"/>
      <c r="CK115" s="41"/>
      <c r="CL115" s="498"/>
      <c r="CM115" s="39"/>
      <c r="CN115" s="39"/>
      <c r="CO115" s="39"/>
      <c r="CP115" s="205"/>
      <c r="CQ115" s="205"/>
      <c r="CR115" s="282"/>
      <c r="CS115" s="41">
        <f aca="true" t="shared" si="140" ref="CS115:CX115">(BI115+BO115+BU115+(CA115/0.212)+(CG115/0.55)+(CM115/0.635))</f>
        <v>70.75471698113208</v>
      </c>
      <c r="CT115" s="41">
        <f t="shared" si="140"/>
        <v>169.81132075471697</v>
      </c>
      <c r="CU115" s="41">
        <f t="shared" si="140"/>
        <v>264.1509433962264</v>
      </c>
      <c r="CV115" s="41">
        <f t="shared" si="140"/>
        <v>51.88679245283019</v>
      </c>
      <c r="CW115" s="41">
        <f t="shared" si="140"/>
        <v>89.62264150943396</v>
      </c>
      <c r="CX115" s="237">
        <f t="shared" si="140"/>
        <v>0</v>
      </c>
      <c r="CY115" s="41"/>
      <c r="CZ115" s="41"/>
      <c r="DA115" s="39"/>
      <c r="DB115" s="41"/>
      <c r="DC115" s="41"/>
      <c r="DD115" s="237"/>
      <c r="DE115" s="41"/>
      <c r="DF115" s="39"/>
      <c r="DG115" s="39"/>
      <c r="DH115" s="39"/>
      <c r="DI115" s="39"/>
      <c r="DJ115" s="243"/>
      <c r="DK115" s="39"/>
      <c r="DL115" s="39"/>
      <c r="DM115" s="39"/>
      <c r="DN115" s="39"/>
      <c r="DO115" s="39"/>
      <c r="DP115" s="243"/>
      <c r="DQ115" s="39"/>
      <c r="DR115" s="39"/>
      <c r="DS115" s="39"/>
      <c r="DT115" s="39"/>
      <c r="DU115" s="39"/>
      <c r="DV115" s="243"/>
      <c r="DW115" s="39"/>
      <c r="DX115" s="39"/>
      <c r="DY115" s="39"/>
      <c r="DZ115" s="38"/>
      <c r="EA115" s="546"/>
      <c r="EB115" s="39"/>
      <c r="EC115" s="38"/>
      <c r="ED115" s="38"/>
    </row>
    <row r="116" spans="1:134" ht="12.75">
      <c r="A116" s="88" t="s">
        <v>126</v>
      </c>
      <c r="B116" s="29">
        <f>Commerical!B116</f>
        <v>2.6334999999999997</v>
      </c>
      <c r="C116" s="41"/>
      <c r="D116" s="41"/>
      <c r="E116" s="41"/>
      <c r="F116" s="41"/>
      <c r="G116" s="235"/>
      <c r="H116" s="41"/>
      <c r="I116" s="205"/>
      <c r="J116" s="205"/>
      <c r="K116" s="205"/>
      <c r="L116" s="618"/>
      <c r="M116" s="626"/>
      <c r="N116" s="205"/>
      <c r="O116" s="205"/>
      <c r="P116" s="205"/>
      <c r="Q116" s="205"/>
      <c r="R116" s="271"/>
      <c r="S116" s="205"/>
      <c r="T116" s="205"/>
      <c r="U116" s="205"/>
      <c r="V116" s="205"/>
      <c r="W116" s="205"/>
      <c r="X116" s="216"/>
      <c r="Y116" s="205"/>
      <c r="Z116" s="205"/>
      <c r="AA116" s="205"/>
      <c r="AB116" s="205"/>
      <c r="AC116" s="38"/>
      <c r="AD116" s="41"/>
      <c r="AE116" s="616"/>
      <c r="AF116" s="205"/>
      <c r="AG116" s="205"/>
      <c r="AH116" s="205"/>
      <c r="AI116" s="205"/>
      <c r="AJ116" s="216"/>
      <c r="AK116" s="205"/>
      <c r="AL116" s="205"/>
      <c r="AM116" s="41"/>
      <c r="AN116" s="41"/>
      <c r="AO116" s="41"/>
      <c r="AP116" s="498"/>
      <c r="AQ116" s="39"/>
      <c r="AR116" s="39"/>
      <c r="AS116" s="205"/>
      <c r="AT116" s="205"/>
      <c r="AU116" s="205"/>
      <c r="AV116" s="235"/>
      <c r="AW116" s="41"/>
      <c r="AX116" s="41"/>
      <c r="AY116" s="41"/>
      <c r="AZ116" s="41"/>
      <c r="BA116" s="41"/>
      <c r="BB116" s="237"/>
      <c r="BC116" s="41"/>
      <c r="BD116" s="41"/>
      <c r="BE116" s="210"/>
      <c r="BF116" s="41"/>
      <c r="BG116" s="41"/>
      <c r="BH116" s="224"/>
      <c r="BI116" s="210"/>
      <c r="BJ116" s="210"/>
      <c r="BK116" s="41"/>
      <c r="BL116" s="286"/>
      <c r="BM116" s="41"/>
      <c r="BN116" s="216"/>
      <c r="BO116" s="205"/>
      <c r="BP116" s="205"/>
      <c r="BQ116" s="205"/>
      <c r="BR116" s="205"/>
      <c r="BS116" s="205"/>
      <c r="BT116" s="216"/>
      <c r="BU116" s="205"/>
      <c r="BV116" s="205"/>
      <c r="BW116" s="205"/>
      <c r="BX116" s="205"/>
      <c r="BY116" s="205"/>
      <c r="BZ116" s="235"/>
      <c r="CA116" s="41"/>
      <c r="CC116" s="205"/>
      <c r="CD116" s="205"/>
      <c r="CE116" s="205"/>
      <c r="CF116" s="216"/>
      <c r="CG116" s="205"/>
      <c r="CH116" s="205"/>
      <c r="CI116" s="39"/>
      <c r="CJ116" s="41"/>
      <c r="CK116" s="41"/>
      <c r="CL116" s="498"/>
      <c r="CM116" s="39"/>
      <c r="CN116" s="39"/>
      <c r="CO116" s="39"/>
      <c r="CP116" s="205"/>
      <c r="CQ116" s="205"/>
      <c r="CR116" s="282"/>
      <c r="CS116" s="205"/>
      <c r="CT116" s="41"/>
      <c r="CU116" s="41"/>
      <c r="CV116" s="41"/>
      <c r="CW116" s="41"/>
      <c r="CX116" s="237"/>
      <c r="CY116" s="41"/>
      <c r="CZ116" s="41"/>
      <c r="DA116" s="39"/>
      <c r="DB116" s="41"/>
      <c r="DC116" s="41"/>
      <c r="DD116" s="224"/>
      <c r="DE116" s="210"/>
      <c r="DF116" s="39"/>
      <c r="DG116" s="39"/>
      <c r="DH116" s="39"/>
      <c r="DI116" s="39"/>
      <c r="DJ116" s="243"/>
      <c r="DK116" s="39"/>
      <c r="DL116" s="39"/>
      <c r="DM116" s="39"/>
      <c r="DN116" s="39"/>
      <c r="DO116" s="39"/>
      <c r="DP116" s="243"/>
      <c r="DQ116" s="39">
        <f>DK116+Commerical!I116</f>
        <v>561989.7474843365</v>
      </c>
      <c r="DR116" s="39">
        <f>DL116+Commerical!J116</f>
        <v>628441.2378963358</v>
      </c>
      <c r="DS116" s="39">
        <f>DM116+Commerical!K116</f>
        <v>690336.0546800836</v>
      </c>
      <c r="DT116" s="39">
        <f>DN116+Commerical!L116</f>
        <v>654642.1112587812</v>
      </c>
      <c r="DU116" s="39">
        <f>DO116+Commerical!M116</f>
        <v>628061.5150939814</v>
      </c>
      <c r="DV116" s="243">
        <f>DP116+Commerical!N116</f>
        <v>313651.03474463645</v>
      </c>
      <c r="DW116" s="39"/>
      <c r="DX116" s="39"/>
      <c r="DY116" s="38"/>
      <c r="DZ116" s="38"/>
      <c r="EA116" s="546"/>
      <c r="EB116" s="38"/>
      <c r="EC116" s="38"/>
      <c r="ED116" s="38"/>
    </row>
    <row r="117" spans="1:134" ht="13.5">
      <c r="A117" s="88" t="s">
        <v>127</v>
      </c>
      <c r="B117" s="29">
        <f>Commerical!B117</f>
        <v>63</v>
      </c>
      <c r="C117" s="41"/>
      <c r="D117" s="395"/>
      <c r="E117" s="395"/>
      <c r="F117" s="395"/>
      <c r="G117" s="496"/>
      <c r="H117" s="407"/>
      <c r="I117" s="205"/>
      <c r="J117" s="205"/>
      <c r="K117" s="205"/>
      <c r="L117" s="618"/>
      <c r="M117" s="626"/>
      <c r="N117" s="205"/>
      <c r="O117" s="205"/>
      <c r="P117" s="205"/>
      <c r="Q117" s="205"/>
      <c r="R117" s="271"/>
      <c r="S117" s="205"/>
      <c r="T117" s="205"/>
      <c r="U117" s="205"/>
      <c r="V117" s="205"/>
      <c r="W117" s="205"/>
      <c r="X117" s="216"/>
      <c r="Y117" s="205"/>
      <c r="Z117" s="205"/>
      <c r="AA117" s="205"/>
      <c r="AB117" s="205"/>
      <c r="AC117" s="38"/>
      <c r="AD117" s="41"/>
      <c r="AE117" s="616"/>
      <c r="AF117" s="205"/>
      <c r="AG117" s="205"/>
      <c r="AH117" s="205"/>
      <c r="AI117" s="205"/>
      <c r="AJ117" s="216"/>
      <c r="AK117" s="205"/>
      <c r="AL117" s="205"/>
      <c r="AM117" s="41"/>
      <c r="AN117" s="41"/>
      <c r="AO117" s="41"/>
      <c r="AP117" s="498"/>
      <c r="AQ117" s="39"/>
      <c r="AR117" s="39"/>
      <c r="AS117" s="205"/>
      <c r="AT117" s="205"/>
      <c r="AU117" s="205"/>
      <c r="AV117" s="235"/>
      <c r="AW117" s="41"/>
      <c r="AX117" s="41"/>
      <c r="AY117" s="41"/>
      <c r="AZ117" s="41"/>
      <c r="BA117" s="41"/>
      <c r="BB117" s="237"/>
      <c r="BC117" s="41"/>
      <c r="BD117" s="41"/>
      <c r="BE117" s="210"/>
      <c r="BF117" s="41"/>
      <c r="BG117" s="41"/>
      <c r="BH117" s="224"/>
      <c r="BI117" s="210"/>
      <c r="BJ117" s="210"/>
      <c r="BK117" s="41"/>
      <c r="BL117" s="286"/>
      <c r="BM117" s="41"/>
      <c r="BN117" s="216"/>
      <c r="BO117" s="205"/>
      <c r="BP117" s="205"/>
      <c r="BQ117" s="205"/>
      <c r="BR117" s="205"/>
      <c r="BS117" s="205"/>
      <c r="BT117" s="216"/>
      <c r="BU117" s="205"/>
      <c r="BV117" s="205"/>
      <c r="BW117" s="205"/>
      <c r="BX117" s="205"/>
      <c r="BY117" s="205"/>
      <c r="BZ117" s="235"/>
      <c r="CA117" s="41"/>
      <c r="CB117" s="41"/>
      <c r="CC117" s="205"/>
      <c r="CD117" s="205"/>
      <c r="CE117" s="205"/>
      <c r="CF117" s="216"/>
      <c r="CG117" s="205"/>
      <c r="CH117" s="205"/>
      <c r="CI117" s="39"/>
      <c r="CJ117" s="41"/>
      <c r="CK117" s="41"/>
      <c r="CL117" s="498"/>
      <c r="CM117" s="39"/>
      <c r="CN117" s="39"/>
      <c r="CO117" s="39"/>
      <c r="CP117" s="205"/>
      <c r="CQ117" s="205"/>
      <c r="CR117" s="282"/>
      <c r="CS117" s="205"/>
      <c r="CT117" s="41"/>
      <c r="CU117" s="41"/>
      <c r="CV117" s="41"/>
      <c r="CW117" s="41"/>
      <c r="CX117" s="237"/>
      <c r="CY117" s="41"/>
      <c r="CZ117" s="41"/>
      <c r="DA117" s="39"/>
      <c r="DB117" s="41"/>
      <c r="DC117" s="41"/>
      <c r="DD117" s="224"/>
      <c r="DE117" s="210"/>
      <c r="DF117" s="39"/>
      <c r="DG117" s="39"/>
      <c r="DH117" s="39"/>
      <c r="DI117" s="39"/>
      <c r="DJ117" s="243"/>
      <c r="DK117" s="39"/>
      <c r="DL117" s="39"/>
      <c r="DM117" s="39"/>
      <c r="DN117" s="39"/>
      <c r="DO117" s="39"/>
      <c r="DP117" s="243"/>
      <c r="DQ117" s="39">
        <f>DK117+Commerical!I117</f>
        <v>907746.0317460317</v>
      </c>
      <c r="DR117" s="39">
        <f>DL117+Commerical!J117</f>
        <v>975444.4444444445</v>
      </c>
      <c r="DS117" s="39">
        <f>DM117+Commerical!K117</f>
        <v>988777.7777777778</v>
      </c>
      <c r="DT117" s="39">
        <f>DN117+Commerical!L117</f>
        <v>1028031.746031746</v>
      </c>
      <c r="DU117" s="39">
        <f>DO117+Commerical!M117</f>
        <v>959523.8095238095</v>
      </c>
      <c r="DV117" s="243">
        <f>DP117+Commerical!N117</f>
        <v>871349.2063492064</v>
      </c>
      <c r="DW117" s="39"/>
      <c r="DX117" s="39"/>
      <c r="DY117" s="38"/>
      <c r="DZ117" s="38"/>
      <c r="EA117" s="546"/>
      <c r="EB117" s="38"/>
      <c r="EC117" s="38"/>
      <c r="ED117" s="38"/>
    </row>
    <row r="118" spans="1:134" ht="12.75">
      <c r="A118" s="88" t="s">
        <v>128</v>
      </c>
      <c r="B118" s="29">
        <f>Commerical!B118</f>
        <v>0.12807666666666667</v>
      </c>
      <c r="C118" s="41">
        <v>3239</v>
      </c>
      <c r="D118" s="397">
        <v>2014</v>
      </c>
      <c r="E118" s="397">
        <v>2686</v>
      </c>
      <c r="F118" s="397">
        <v>2155</v>
      </c>
      <c r="G118" s="495">
        <v>2164</v>
      </c>
      <c r="H118" s="401"/>
      <c r="I118" s="205"/>
      <c r="J118" s="205"/>
      <c r="K118" s="205"/>
      <c r="L118" s="618"/>
      <c r="M118" s="626"/>
      <c r="N118" s="205"/>
      <c r="O118" s="205"/>
      <c r="P118" s="205"/>
      <c r="Q118" s="205"/>
      <c r="R118" s="271">
        <f>2381+3033</f>
        <v>5414</v>
      </c>
      <c r="S118" s="205"/>
      <c r="T118" s="205"/>
      <c r="U118" s="205"/>
      <c r="V118" s="205"/>
      <c r="W118" s="205"/>
      <c r="X118" s="216"/>
      <c r="Y118" s="205"/>
      <c r="Z118" s="205"/>
      <c r="AA118" s="205"/>
      <c r="AB118" s="205"/>
      <c r="AC118" s="38"/>
      <c r="AD118" s="41"/>
      <c r="AE118" s="616"/>
      <c r="AF118" s="205"/>
      <c r="AG118" s="205"/>
      <c r="AH118" s="205"/>
      <c r="AI118" s="205"/>
      <c r="AJ118" s="216"/>
      <c r="AK118" s="205"/>
      <c r="AL118" s="205"/>
      <c r="AM118" s="41"/>
      <c r="AN118" s="41"/>
      <c r="AO118" s="41"/>
      <c r="AP118" s="498"/>
      <c r="AQ118" s="39"/>
      <c r="AR118" s="39"/>
      <c r="AS118" s="205"/>
      <c r="AT118" s="205"/>
      <c r="AU118" s="205"/>
      <c r="AV118" s="235"/>
      <c r="AW118" s="41">
        <f>(C118+H118+M118+S118+Y118+(AE118/0.212)+(AK118/0.55)+(AQ118/0.635))</f>
        <v>3239</v>
      </c>
      <c r="AX118" s="41">
        <f t="shared" si="75"/>
        <v>2014</v>
      </c>
      <c r="AY118" s="41">
        <f t="shared" si="76"/>
        <v>2686</v>
      </c>
      <c r="AZ118" s="41">
        <f>(F118+K118+P118+V118+AB118+(AH118/0.212)+(AN118/0.55)+(AT118/0.635))</f>
        <v>2155</v>
      </c>
      <c r="BA118" s="41">
        <f>(G118+L118+Q118+W118+AC118+(AI118/0.212)+(AO118/0.55)+(AU118/0.635))</f>
        <v>2164</v>
      </c>
      <c r="BB118" s="237">
        <f>(R118+X118+AD118+(AJ118/0.212)+(AP118/0.55)+(AV118/0.635))</f>
        <v>5414</v>
      </c>
      <c r="BC118" s="41">
        <f>AW118*1000/0.45359237/$B118</f>
        <v>55753892.242939256</v>
      </c>
      <c r="BD118" s="41">
        <f>AX118*1000/0.45359237/$B118</f>
        <v>34667594.62095698</v>
      </c>
      <c r="BE118" s="41">
        <f aca="true" t="shared" si="141" ref="BE118:BH119">AY118*1000/0.45359237/$B118</f>
        <v>46234935.03073012</v>
      </c>
      <c r="BF118" s="41">
        <f t="shared" si="141"/>
        <v>37094670.5105076</v>
      </c>
      <c r="BG118" s="41">
        <f t="shared" si="141"/>
        <v>37249590.24813849</v>
      </c>
      <c r="BH118" s="237">
        <f t="shared" si="141"/>
        <v>93192828.83707106</v>
      </c>
      <c r="BI118" s="41"/>
      <c r="BJ118" s="41"/>
      <c r="BK118" s="41"/>
      <c r="BL118" s="286"/>
      <c r="BM118" s="41"/>
      <c r="BN118" s="216"/>
      <c r="BO118" s="205"/>
      <c r="BP118" s="205"/>
      <c r="BQ118" s="205"/>
      <c r="BR118" s="205"/>
      <c r="BS118" s="205"/>
      <c r="BT118" s="216"/>
      <c r="BU118" s="205"/>
      <c r="BV118" s="205"/>
      <c r="BW118" s="205"/>
      <c r="BX118" s="205"/>
      <c r="BY118" s="205"/>
      <c r="BZ118" s="235"/>
      <c r="CA118" s="41"/>
      <c r="CB118" s="41"/>
      <c r="CC118" s="205"/>
      <c r="CD118" s="205"/>
      <c r="CE118" s="205"/>
      <c r="CF118" s="216"/>
      <c r="CG118" s="205"/>
      <c r="CH118" s="205"/>
      <c r="CI118" s="39"/>
      <c r="CJ118" s="41"/>
      <c r="CK118" s="41"/>
      <c r="CL118" s="498"/>
      <c r="CM118" s="39"/>
      <c r="CN118" s="39"/>
      <c r="CO118" s="39"/>
      <c r="CP118" s="205"/>
      <c r="CQ118" s="205"/>
      <c r="CR118" s="282"/>
      <c r="CS118" s="205"/>
      <c r="CT118" s="41"/>
      <c r="CU118" s="41"/>
      <c r="CV118" s="41"/>
      <c r="CW118" s="41"/>
      <c r="CX118" s="237"/>
      <c r="CY118" s="41"/>
      <c r="CZ118" s="41"/>
      <c r="DA118" s="39"/>
      <c r="DB118" s="41"/>
      <c r="DC118" s="41"/>
      <c r="DD118" s="237"/>
      <c r="DE118" s="39">
        <f aca="true" t="shared" si="142" ref="DE118:DP119">AW118-CS118</f>
        <v>3239</v>
      </c>
      <c r="DF118" s="39">
        <f t="shared" si="142"/>
        <v>2014</v>
      </c>
      <c r="DG118" s="39">
        <f t="shared" si="142"/>
        <v>2686</v>
      </c>
      <c r="DH118" s="39">
        <f t="shared" si="142"/>
        <v>2155</v>
      </c>
      <c r="DI118" s="39">
        <f t="shared" si="142"/>
        <v>2164</v>
      </c>
      <c r="DJ118" s="243">
        <f t="shared" si="142"/>
        <v>5414</v>
      </c>
      <c r="DK118" s="39">
        <f t="shared" si="142"/>
        <v>55753892.242939256</v>
      </c>
      <c r="DL118" s="39">
        <f t="shared" si="142"/>
        <v>34667594.62095698</v>
      </c>
      <c r="DM118" s="39">
        <f t="shared" si="142"/>
        <v>46234935.03073012</v>
      </c>
      <c r="DN118" s="39">
        <f t="shared" si="142"/>
        <v>37094670.5105076</v>
      </c>
      <c r="DO118" s="39">
        <f t="shared" si="142"/>
        <v>37249590.24813849</v>
      </c>
      <c r="DP118" s="243">
        <f t="shared" si="142"/>
        <v>93192828.83707106</v>
      </c>
      <c r="DQ118" s="39">
        <f>DK118+Commerical!I118</f>
        <v>61953304.05357351</v>
      </c>
      <c r="DR118" s="39">
        <f>DL118+Commerical!J118</f>
        <v>37642375.35124873</v>
      </c>
      <c r="DS118" s="39">
        <f>DM118+Commerical!K118</f>
        <v>50864974.3301081</v>
      </c>
      <c r="DT118" s="39">
        <f>DN118+Commerical!L118</f>
        <v>44473063.660443835</v>
      </c>
      <c r="DU118" s="39">
        <f>DO118+Commerical!M118</f>
        <v>46993753.90011777</v>
      </c>
      <c r="DV118" s="243">
        <f>DP118+Commerical!N118</f>
        <v>102265519.67328896</v>
      </c>
      <c r="DW118" s="39"/>
      <c r="DX118" s="39"/>
      <c r="DY118" s="38"/>
      <c r="DZ118" s="38"/>
      <c r="EA118" s="546"/>
      <c r="EB118" s="38"/>
      <c r="EC118" s="38"/>
      <c r="ED118" s="38"/>
    </row>
    <row r="119" spans="1:134" ht="12.75">
      <c r="A119" s="88" t="s">
        <v>743</v>
      </c>
      <c r="B119" s="29">
        <f>Commerical!B119</f>
        <v>0.0611559826588</v>
      </c>
      <c r="C119" s="41">
        <v>4398</v>
      </c>
      <c r="D119" s="397">
        <v>4448</v>
      </c>
      <c r="E119" s="397">
        <v>5689</v>
      </c>
      <c r="F119" s="397">
        <v>4190</v>
      </c>
      <c r="G119" s="495">
        <v>4727</v>
      </c>
      <c r="H119" s="401"/>
      <c r="I119" s="205"/>
      <c r="J119" s="205"/>
      <c r="K119" s="205"/>
      <c r="L119" s="618"/>
      <c r="M119" s="626"/>
      <c r="N119" s="205"/>
      <c r="O119" s="205"/>
      <c r="P119" s="205"/>
      <c r="Q119" s="205"/>
      <c r="R119" s="271"/>
      <c r="S119" s="205"/>
      <c r="T119" s="205"/>
      <c r="U119" s="205"/>
      <c r="V119" s="205"/>
      <c r="W119" s="205"/>
      <c r="X119" s="216"/>
      <c r="Y119" s="205"/>
      <c r="Z119" s="205"/>
      <c r="AA119" s="205"/>
      <c r="AB119" s="205"/>
      <c r="AC119" s="38"/>
      <c r="AD119" s="41"/>
      <c r="AE119" s="616"/>
      <c r="AF119" s="205"/>
      <c r="AG119" s="205"/>
      <c r="AH119" s="205"/>
      <c r="AI119" s="205"/>
      <c r="AJ119" s="216"/>
      <c r="AK119" s="205"/>
      <c r="AL119" s="205"/>
      <c r="AM119" s="41"/>
      <c r="AN119" s="41"/>
      <c r="AO119" s="41"/>
      <c r="AP119" s="498"/>
      <c r="AQ119" s="39"/>
      <c r="AR119" s="39"/>
      <c r="AS119" s="205"/>
      <c r="AT119" s="205"/>
      <c r="AU119" s="205"/>
      <c r="AV119" s="235"/>
      <c r="AW119" s="41">
        <f>(C119+H119+M119+S119+Y119+(AE119/0.212)+(AK119/0.55)+(AQ119/0.635))</f>
        <v>4398</v>
      </c>
      <c r="AX119" s="41">
        <f t="shared" si="75"/>
        <v>4448</v>
      </c>
      <c r="AY119" s="41">
        <f t="shared" si="76"/>
        <v>5689</v>
      </c>
      <c r="AZ119" s="41">
        <f>(F119+K119+P119+V119+AB119+(AH119/0.212)+(AN119/0.55)+(AT119/0.635))</f>
        <v>4190</v>
      </c>
      <c r="BA119" s="41">
        <f>(G119+L119+Q119+W119+AC119+(AI119/0.212)+(AO119/0.55)+(AU119/0.635))</f>
        <v>4727</v>
      </c>
      <c r="BB119" s="237">
        <f>(R119+X119+AD119+(AJ119/0.212)+(AP119/0.55)+(AV119/0.635))</f>
        <v>0</v>
      </c>
      <c r="BC119" s="41">
        <f>AW119*1000/0.45359237/$B119</f>
        <v>158544264.50779507</v>
      </c>
      <c r="BD119" s="41">
        <f>AX119*1000/0.45359237/$B119</f>
        <v>160346723.17659673</v>
      </c>
      <c r="BE119" s="41">
        <f t="shared" si="141"/>
        <v>205083747.33625424</v>
      </c>
      <c r="BF119" s="41">
        <f t="shared" si="141"/>
        <v>151046036.44558012</v>
      </c>
      <c r="BG119" s="41">
        <f t="shared" si="141"/>
        <v>170404442.54851007</v>
      </c>
      <c r="BH119" s="237">
        <f t="shared" si="141"/>
        <v>0</v>
      </c>
      <c r="BI119" s="41"/>
      <c r="BJ119" s="41"/>
      <c r="BK119" s="41"/>
      <c r="BL119" s="286"/>
      <c r="BM119" s="41"/>
      <c r="BN119" s="216"/>
      <c r="BO119" s="205"/>
      <c r="BP119" s="205"/>
      <c r="BQ119" s="205"/>
      <c r="BR119" s="205"/>
      <c r="BS119" s="205"/>
      <c r="BT119" s="216"/>
      <c r="BU119" s="205"/>
      <c r="BV119" s="205"/>
      <c r="BW119" s="205"/>
      <c r="BX119" s="205"/>
      <c r="BY119" s="205"/>
      <c r="BZ119" s="235"/>
      <c r="CA119" s="41"/>
      <c r="CB119" s="41"/>
      <c r="CC119" s="205"/>
      <c r="CD119" s="205"/>
      <c r="CE119" s="205"/>
      <c r="CF119" s="216"/>
      <c r="CG119" s="205"/>
      <c r="CH119" s="205"/>
      <c r="CI119" s="39"/>
      <c r="CJ119" s="41"/>
      <c r="CK119" s="41"/>
      <c r="CL119" s="498"/>
      <c r="CM119" s="39"/>
      <c r="CN119" s="39"/>
      <c r="CO119" s="39"/>
      <c r="CP119" s="205"/>
      <c r="CQ119" s="205"/>
      <c r="CR119" s="282"/>
      <c r="CS119" s="205"/>
      <c r="CT119" s="41"/>
      <c r="CU119" s="41"/>
      <c r="CV119" s="41"/>
      <c r="CW119" s="41"/>
      <c r="CX119" s="237"/>
      <c r="CY119" s="41"/>
      <c r="CZ119" s="41"/>
      <c r="DA119" s="39"/>
      <c r="DB119" s="41"/>
      <c r="DC119" s="41"/>
      <c r="DD119" s="237"/>
      <c r="DE119" s="39">
        <f t="shared" si="142"/>
        <v>4398</v>
      </c>
      <c r="DF119" s="39">
        <f t="shared" si="142"/>
        <v>4448</v>
      </c>
      <c r="DG119" s="39">
        <f t="shared" si="142"/>
        <v>5689</v>
      </c>
      <c r="DH119" s="39">
        <f t="shared" si="142"/>
        <v>4190</v>
      </c>
      <c r="DI119" s="39">
        <f t="shared" si="142"/>
        <v>4727</v>
      </c>
      <c r="DJ119" s="243">
        <f t="shared" si="142"/>
        <v>0</v>
      </c>
      <c r="DK119" s="39">
        <f t="shared" si="142"/>
        <v>158544264.50779507</v>
      </c>
      <c r="DL119" s="39">
        <f t="shared" si="142"/>
        <v>160346723.17659673</v>
      </c>
      <c r="DM119" s="39">
        <f t="shared" si="142"/>
        <v>205083747.33625424</v>
      </c>
      <c r="DN119" s="39">
        <f t="shared" si="142"/>
        <v>151046036.44558012</v>
      </c>
      <c r="DO119" s="39">
        <f t="shared" si="142"/>
        <v>170404442.54851007</v>
      </c>
      <c r="DP119" s="243">
        <f t="shared" si="142"/>
        <v>0</v>
      </c>
      <c r="DQ119" s="39">
        <f>DK119+Commerical!I119</f>
        <v>158544264.50779507</v>
      </c>
      <c r="DR119" s="39">
        <f>DL119+Commerical!J119</f>
        <v>160346723.17659673</v>
      </c>
      <c r="DS119" s="39">
        <f>DM119+Commerical!K119</f>
        <v>205083747.33625424</v>
      </c>
      <c r="DT119" s="39">
        <f>DN119+Commerical!L119</f>
        <v>151046036.44558012</v>
      </c>
      <c r="DU119" s="39">
        <f>DO119+Commerical!M119</f>
        <v>170404442.54851007</v>
      </c>
      <c r="DV119" s="243">
        <f>DP119+Commerical!N119</f>
        <v>0</v>
      </c>
      <c r="DW119" s="39"/>
      <c r="DX119" s="39"/>
      <c r="DY119" s="38"/>
      <c r="DZ119" s="217"/>
      <c r="EA119" s="546"/>
      <c r="EB119" s="38"/>
      <c r="EC119" s="38"/>
      <c r="ED119" s="38"/>
    </row>
    <row r="120" spans="1:134" ht="12.75">
      <c r="A120" s="88" t="s">
        <v>129</v>
      </c>
      <c r="B120" s="29">
        <f>Commerical!B120</f>
        <v>3.5145</v>
      </c>
      <c r="C120" s="41"/>
      <c r="D120" s="41"/>
      <c r="E120" s="41"/>
      <c r="F120" s="41"/>
      <c r="G120" s="235"/>
      <c r="H120" s="41"/>
      <c r="I120" s="205"/>
      <c r="J120" s="205"/>
      <c r="K120" s="205"/>
      <c r="L120" s="618"/>
      <c r="M120" s="626"/>
      <c r="N120" s="205"/>
      <c r="O120" s="205"/>
      <c r="P120" s="205"/>
      <c r="Q120" s="205"/>
      <c r="R120" s="271"/>
      <c r="S120" s="205"/>
      <c r="T120" s="205"/>
      <c r="U120" s="205"/>
      <c r="V120" s="205"/>
      <c r="W120" s="205"/>
      <c r="X120" s="216"/>
      <c r="Y120" s="205"/>
      <c r="Z120" s="205"/>
      <c r="AA120" s="205"/>
      <c r="AB120" s="205"/>
      <c r="AC120" s="38"/>
      <c r="AD120" s="41"/>
      <c r="AE120" s="616"/>
      <c r="AF120" s="205"/>
      <c r="AG120" s="205"/>
      <c r="AH120" s="205"/>
      <c r="AI120" s="205"/>
      <c r="AJ120" s="216"/>
      <c r="AK120" s="205"/>
      <c r="AL120" s="205"/>
      <c r="AM120" s="41"/>
      <c r="AN120" s="41"/>
      <c r="AO120" s="41"/>
      <c r="AP120" s="498"/>
      <c r="AQ120" s="39"/>
      <c r="AR120" s="39"/>
      <c r="AS120" s="205"/>
      <c r="AT120" s="205"/>
      <c r="AU120" s="205"/>
      <c r="AV120" s="235"/>
      <c r="AW120" s="41"/>
      <c r="AX120" s="41"/>
      <c r="AY120" s="41"/>
      <c r="AZ120" s="41"/>
      <c r="BA120" s="41"/>
      <c r="BB120" s="237"/>
      <c r="BC120" s="41"/>
      <c r="BD120" s="41"/>
      <c r="BE120" s="210"/>
      <c r="BF120" s="41"/>
      <c r="BG120" s="41"/>
      <c r="BH120" s="224"/>
      <c r="BI120" s="210"/>
      <c r="BJ120" s="210"/>
      <c r="BK120" s="41"/>
      <c r="BL120" s="286"/>
      <c r="BM120" s="41"/>
      <c r="BN120" s="216"/>
      <c r="BO120" s="205"/>
      <c r="BP120" s="205"/>
      <c r="BQ120" s="205"/>
      <c r="BR120" s="205"/>
      <c r="BS120" s="205"/>
      <c r="BT120" s="216"/>
      <c r="BU120" s="205"/>
      <c r="BV120" s="205"/>
      <c r="BW120" s="205"/>
      <c r="BX120" s="205"/>
      <c r="BY120" s="205"/>
      <c r="BZ120" s="235"/>
      <c r="CA120" s="41"/>
      <c r="CB120" s="41"/>
      <c r="CC120" s="205"/>
      <c r="CD120" s="205"/>
      <c r="CE120" s="205"/>
      <c r="CF120" s="216"/>
      <c r="CG120" s="205"/>
      <c r="CH120" s="205"/>
      <c r="CI120" s="39"/>
      <c r="CJ120" s="41"/>
      <c r="CK120" s="41"/>
      <c r="CL120" s="498"/>
      <c r="CM120" s="39"/>
      <c r="CN120" s="39"/>
      <c r="CO120" s="39"/>
      <c r="CP120" s="205"/>
      <c r="CQ120" s="205"/>
      <c r="CR120" s="282"/>
      <c r="CS120" s="205"/>
      <c r="CT120" s="41"/>
      <c r="CU120" s="41"/>
      <c r="CV120" s="41"/>
      <c r="CW120" s="41"/>
      <c r="CX120" s="237"/>
      <c r="CY120" s="41"/>
      <c r="CZ120" s="41"/>
      <c r="DA120" s="39"/>
      <c r="DB120" s="41"/>
      <c r="DC120" s="41"/>
      <c r="DD120" s="224"/>
      <c r="DE120" s="210"/>
      <c r="DF120" s="39"/>
      <c r="DG120" s="39"/>
      <c r="DH120" s="39"/>
      <c r="DI120" s="39"/>
      <c r="DJ120" s="243"/>
      <c r="DK120" s="39"/>
      <c r="DL120" s="39"/>
      <c r="DM120" s="39"/>
      <c r="DN120" s="39"/>
      <c r="DO120" s="39"/>
      <c r="DP120" s="243"/>
      <c r="DQ120" s="39">
        <f>DK120+Commerical!I120</f>
        <v>1014653.5780338597</v>
      </c>
      <c r="DR120" s="39">
        <f>DL120+Commerical!J120</f>
        <v>562811.2106985346</v>
      </c>
      <c r="DS120" s="39">
        <f>DM120+Commerical!K120</f>
        <v>825722.0088206003</v>
      </c>
      <c r="DT120" s="39">
        <f>DN120+Commerical!L120</f>
        <v>713045.9524825722</v>
      </c>
      <c r="DU120" s="39">
        <f>DO120+Commerical!M120</f>
        <v>906814.6251244843</v>
      </c>
      <c r="DV120" s="243">
        <f>DP120+Commerical!N120</f>
        <v>1185090.3400199176</v>
      </c>
      <c r="DW120" s="138"/>
      <c r="DX120" s="39"/>
      <c r="DY120" s="38"/>
      <c r="DZ120" s="38"/>
      <c r="EA120" s="546"/>
      <c r="EB120" s="38"/>
      <c r="EC120" s="38"/>
      <c r="ED120" s="38"/>
    </row>
    <row r="121" spans="1:134" ht="12.75">
      <c r="A121" s="88" t="s">
        <v>130</v>
      </c>
      <c r="B121" s="29">
        <f>Commerical!B121</f>
        <v>0.946</v>
      </c>
      <c r="C121" s="41"/>
      <c r="E121" s="41"/>
      <c r="F121" s="41"/>
      <c r="G121" s="235"/>
      <c r="H121" s="41"/>
      <c r="I121" s="205"/>
      <c r="J121" s="205"/>
      <c r="K121" s="205"/>
      <c r="L121" s="618"/>
      <c r="M121" s="626"/>
      <c r="N121" s="205"/>
      <c r="O121" s="205"/>
      <c r="P121" s="205"/>
      <c r="Q121" s="205"/>
      <c r="R121" s="271"/>
      <c r="S121" s="205"/>
      <c r="T121" s="205"/>
      <c r="U121" s="205"/>
      <c r="V121" s="205"/>
      <c r="W121" s="205"/>
      <c r="X121" s="216"/>
      <c r="Y121" s="205"/>
      <c r="Z121" s="205"/>
      <c r="AA121" s="205"/>
      <c r="AB121" s="205"/>
      <c r="AC121" s="38"/>
      <c r="AD121" s="41"/>
      <c r="AE121" s="616"/>
      <c r="AF121" s="205"/>
      <c r="AG121" s="205"/>
      <c r="AH121" s="205"/>
      <c r="AI121" s="205"/>
      <c r="AJ121" s="216"/>
      <c r="AK121" s="205"/>
      <c r="AL121" s="205"/>
      <c r="AM121" s="41"/>
      <c r="AN121" s="41"/>
      <c r="AO121" s="41"/>
      <c r="AP121" s="498"/>
      <c r="AQ121" s="39"/>
      <c r="AR121" s="39"/>
      <c r="AS121" s="205"/>
      <c r="AT121" s="205"/>
      <c r="AU121" s="205"/>
      <c r="AV121" s="235"/>
      <c r="AW121" s="41"/>
      <c r="AX121" s="41"/>
      <c r="AY121" s="41"/>
      <c r="AZ121" s="41"/>
      <c r="BA121" s="41"/>
      <c r="BB121" s="237"/>
      <c r="BC121" s="41"/>
      <c r="BD121" s="41"/>
      <c r="BE121" s="210"/>
      <c r="BF121" s="41"/>
      <c r="BG121" s="41"/>
      <c r="BH121" s="224"/>
      <c r="BI121" s="210"/>
      <c r="BJ121" s="210"/>
      <c r="BK121" s="41"/>
      <c r="BL121" s="286"/>
      <c r="BM121" s="41"/>
      <c r="BN121" s="216"/>
      <c r="BO121" s="205"/>
      <c r="BP121" s="205"/>
      <c r="BQ121" s="205"/>
      <c r="BR121" s="205"/>
      <c r="BS121" s="205"/>
      <c r="BT121" s="216"/>
      <c r="BU121" s="205"/>
      <c r="BV121" s="205"/>
      <c r="BW121" s="205"/>
      <c r="BX121" s="205"/>
      <c r="BY121" s="205"/>
      <c r="BZ121" s="235"/>
      <c r="CA121" s="41"/>
      <c r="CB121" s="41"/>
      <c r="CC121" s="205"/>
      <c r="CD121" s="205"/>
      <c r="CE121" s="205"/>
      <c r="CF121" s="216"/>
      <c r="CG121" s="205"/>
      <c r="CH121" s="205"/>
      <c r="CI121" s="39"/>
      <c r="CJ121" s="41"/>
      <c r="CK121" s="41"/>
      <c r="CL121" s="498"/>
      <c r="CM121" s="39"/>
      <c r="CN121" s="39"/>
      <c r="CO121" s="39"/>
      <c r="CP121" s="205"/>
      <c r="CQ121" s="205"/>
      <c r="CR121" s="282"/>
      <c r="CS121" s="205"/>
      <c r="CT121" s="41"/>
      <c r="CU121" s="41"/>
      <c r="CV121" s="41"/>
      <c r="CW121" s="41"/>
      <c r="CX121" s="237"/>
      <c r="CY121" s="41"/>
      <c r="CZ121" s="41"/>
      <c r="DA121" s="39"/>
      <c r="DB121" s="41"/>
      <c r="DC121" s="41"/>
      <c r="DD121" s="224"/>
      <c r="DE121" s="210"/>
      <c r="DF121" s="39"/>
      <c r="DG121" s="39"/>
      <c r="DH121" s="39"/>
      <c r="DI121" s="39"/>
      <c r="DJ121" s="243"/>
      <c r="DK121" s="39"/>
      <c r="DL121" s="39"/>
      <c r="DM121" s="39"/>
      <c r="DN121" s="39"/>
      <c r="DO121" s="39"/>
      <c r="DP121" s="243"/>
      <c r="DQ121" s="39">
        <f>DK121+Commerical!I121</f>
        <v>4393234.67230444</v>
      </c>
      <c r="DR121" s="39">
        <f>DL121+Commerical!J121</f>
        <v>3236786.469344609</v>
      </c>
      <c r="DS121" s="39">
        <f>DM121+Commerical!K121</f>
        <v>4487315.010570825</v>
      </c>
      <c r="DT121" s="39">
        <f>DN121+Commerical!L121</f>
        <v>3940803.382663848</v>
      </c>
      <c r="DU121" s="39">
        <f>DO121+Commerical!M121</f>
        <v>2057082.4524312897</v>
      </c>
      <c r="DV121" s="243">
        <f>DP121+Commerical!N121</f>
        <v>1687103.5940803383</v>
      </c>
      <c r="DW121" s="138"/>
      <c r="DX121" s="39"/>
      <c r="DY121" s="38"/>
      <c r="DZ121" s="38"/>
      <c r="EA121" s="546"/>
      <c r="EB121" s="38"/>
      <c r="EC121" s="38"/>
      <c r="ED121" s="38"/>
    </row>
    <row r="122" spans="1:134" ht="12.75">
      <c r="A122" s="88" t="s">
        <v>131</v>
      </c>
      <c r="B122" s="29">
        <f>Commerical!B122</f>
        <v>6.205</v>
      </c>
      <c r="C122" s="41"/>
      <c r="E122" s="41"/>
      <c r="F122" s="41"/>
      <c r="G122" s="235"/>
      <c r="H122" s="41"/>
      <c r="I122" s="205"/>
      <c r="J122" s="205"/>
      <c r="K122" s="205"/>
      <c r="L122" s="618"/>
      <c r="M122" s="626"/>
      <c r="N122" s="205"/>
      <c r="O122" s="205"/>
      <c r="P122" s="205"/>
      <c r="Q122" s="205"/>
      <c r="R122" s="271"/>
      <c r="S122" s="205"/>
      <c r="T122" s="205"/>
      <c r="U122" s="205"/>
      <c r="V122" s="205"/>
      <c r="W122" s="205"/>
      <c r="X122" s="216"/>
      <c r="Y122" s="205"/>
      <c r="Z122" s="205"/>
      <c r="AA122" s="205"/>
      <c r="AB122" s="205"/>
      <c r="AC122" s="38"/>
      <c r="AD122" s="41"/>
      <c r="AE122" s="616"/>
      <c r="AF122" s="205"/>
      <c r="AG122" s="205"/>
      <c r="AH122" s="205"/>
      <c r="AI122" s="205"/>
      <c r="AJ122" s="216"/>
      <c r="AK122" s="205"/>
      <c r="AL122" s="205"/>
      <c r="AM122" s="41"/>
      <c r="AN122" s="41"/>
      <c r="AO122" s="41"/>
      <c r="AP122" s="498"/>
      <c r="AQ122" s="39"/>
      <c r="AR122" s="39"/>
      <c r="AS122" s="205"/>
      <c r="AT122" s="205"/>
      <c r="AU122" s="205"/>
      <c r="AV122" s="235"/>
      <c r="AW122" s="41"/>
      <c r="AX122" s="41"/>
      <c r="AY122" s="41"/>
      <c r="AZ122" s="41"/>
      <c r="BA122" s="41"/>
      <c r="BB122" s="237"/>
      <c r="BC122" s="41"/>
      <c r="BD122" s="41"/>
      <c r="BE122" s="210"/>
      <c r="BF122" s="41"/>
      <c r="BG122" s="41"/>
      <c r="BH122" s="224"/>
      <c r="BI122" s="210"/>
      <c r="BJ122" s="210"/>
      <c r="BK122" s="41"/>
      <c r="BL122" s="286"/>
      <c r="BM122" s="41"/>
      <c r="BN122" s="216"/>
      <c r="BO122" s="205"/>
      <c r="BP122" s="205"/>
      <c r="BQ122" s="205"/>
      <c r="BR122" s="205"/>
      <c r="BS122" s="205"/>
      <c r="BT122" s="216"/>
      <c r="BU122" s="205"/>
      <c r="BV122" s="205"/>
      <c r="BW122" s="205"/>
      <c r="BX122" s="205"/>
      <c r="BY122" s="205"/>
      <c r="BZ122" s="235"/>
      <c r="CA122" s="41"/>
      <c r="CB122" s="41"/>
      <c r="CC122" s="205"/>
      <c r="CD122" s="205"/>
      <c r="CE122" s="205"/>
      <c r="CF122" s="216"/>
      <c r="CG122" s="205"/>
      <c r="CH122" s="205"/>
      <c r="CI122" s="39"/>
      <c r="CJ122" s="41"/>
      <c r="CK122" s="41"/>
      <c r="CL122" s="498"/>
      <c r="CM122" s="39"/>
      <c r="CN122" s="39"/>
      <c r="CO122" s="39"/>
      <c r="CP122" s="205"/>
      <c r="CQ122" s="205"/>
      <c r="CR122" s="282"/>
      <c r="CS122" s="205"/>
      <c r="CT122" s="41"/>
      <c r="CU122" s="41"/>
      <c r="CV122" s="41"/>
      <c r="CW122" s="41"/>
      <c r="CX122" s="237"/>
      <c r="CY122" s="41"/>
      <c r="CZ122" s="41"/>
      <c r="DA122" s="39"/>
      <c r="DB122" s="41"/>
      <c r="DC122" s="41"/>
      <c r="DD122" s="224"/>
      <c r="DE122" s="210"/>
      <c r="DF122" s="39"/>
      <c r="DG122" s="39"/>
      <c r="DH122" s="39"/>
      <c r="DI122" s="39"/>
      <c r="DJ122" s="243"/>
      <c r="DK122" s="39"/>
      <c r="DL122" s="39"/>
      <c r="DM122" s="39"/>
      <c r="DN122" s="39"/>
      <c r="DO122" s="39"/>
      <c r="DP122" s="243"/>
      <c r="DQ122" s="39">
        <f>DK122+Commerical!I122</f>
        <v>473166.8009669621</v>
      </c>
      <c r="DR122" s="39">
        <f>DL122+Commerical!J122</f>
        <v>614020.9508460918</v>
      </c>
      <c r="DS122" s="39">
        <f>DM122+Commerical!K122</f>
        <v>524093.4730056406</v>
      </c>
      <c r="DT122" s="39">
        <f>DN122+Commerical!L122</f>
        <v>449153.9081385979</v>
      </c>
      <c r="DU122" s="39">
        <f>DO122+Commerical!M122</f>
        <v>560676.8734891217</v>
      </c>
      <c r="DV122" s="243">
        <f>DP122+Commerical!N122</f>
        <v>563416.5995165189</v>
      </c>
      <c r="DW122" s="138"/>
      <c r="DX122" s="39"/>
      <c r="DY122" s="38"/>
      <c r="DZ122" s="38"/>
      <c r="EA122" s="546"/>
      <c r="EB122" s="38"/>
      <c r="EC122" s="38"/>
      <c r="ED122" s="38"/>
    </row>
    <row r="123" spans="1:134" ht="12.75">
      <c r="A123" s="88" t="s">
        <v>649</v>
      </c>
      <c r="B123" s="29">
        <f>SUM(Commerical!C120:H122)*1000/SUM(Commerical!I120:N122)</f>
        <v>2.014435762078969</v>
      </c>
      <c r="C123" s="41">
        <v>13720</v>
      </c>
      <c r="D123" s="397">
        <v>15354</v>
      </c>
      <c r="E123" s="397">
        <v>13423</v>
      </c>
      <c r="F123" s="397">
        <v>14551</v>
      </c>
      <c r="G123" s="495">
        <v>18834</v>
      </c>
      <c r="H123" s="401"/>
      <c r="I123" s="205"/>
      <c r="J123" s="205"/>
      <c r="K123" s="205"/>
      <c r="L123" s="502"/>
      <c r="M123" s="628"/>
      <c r="N123" s="205"/>
      <c r="O123" s="205"/>
      <c r="P123" s="205"/>
      <c r="Q123" s="205"/>
      <c r="R123" s="271">
        <v>17382</v>
      </c>
      <c r="S123" s="205"/>
      <c r="T123" s="205"/>
      <c r="U123" s="205"/>
      <c r="V123" s="205"/>
      <c r="W123" s="205"/>
      <c r="X123" s="216"/>
      <c r="Y123" s="205"/>
      <c r="Z123" s="205"/>
      <c r="AA123" s="205"/>
      <c r="AB123" s="205"/>
      <c r="AC123" s="38"/>
      <c r="AD123" s="41"/>
      <c r="AE123" s="616"/>
      <c r="AF123" s="205"/>
      <c r="AG123" s="205"/>
      <c r="AH123" s="205"/>
      <c r="AI123" s="205"/>
      <c r="AJ123" s="216"/>
      <c r="AK123" s="205"/>
      <c r="AL123" s="205"/>
      <c r="AM123" s="41"/>
      <c r="AN123" s="41"/>
      <c r="AO123" s="41"/>
      <c r="AP123" s="498"/>
      <c r="AQ123" s="39"/>
      <c r="AR123" s="39"/>
      <c r="AS123" s="205"/>
      <c r="AT123" s="205"/>
      <c r="AU123" s="205"/>
      <c r="AV123" s="235"/>
      <c r="AW123" s="41">
        <f>(C123+H123+M123+S123+Y123+(AE123/0.212)+(AK123/0.55)+(AQ123/0.635))</f>
        <v>13720</v>
      </c>
      <c r="AX123" s="41">
        <f t="shared" si="75"/>
        <v>15354</v>
      </c>
      <c r="AY123" s="41">
        <f t="shared" si="76"/>
        <v>13423</v>
      </c>
      <c r="AZ123" s="41">
        <f>(F123+K123+P123+V123+AB123+(AH123/0.212)+(AN123/0.55)+(AT123/0.635))</f>
        <v>14551</v>
      </c>
      <c r="BA123" s="41">
        <f>(G123+L123+Q123+W123+AC123+(AI123/0.212)+(AO123/0.55)+(AU123/0.635))</f>
        <v>18834</v>
      </c>
      <c r="BB123" s="237">
        <f>(R123+X123+AD123+(AJ123/0.212)+(AP123/0.55)+(AV123/0.635))</f>
        <v>17382</v>
      </c>
      <c r="BC123" s="41">
        <f aca="true" t="shared" si="143" ref="BC123:BH123">AW123*1000/0.45359237/$B123</f>
        <v>15015332.303547269</v>
      </c>
      <c r="BD123" s="41">
        <f t="shared" si="143"/>
        <v>16803601.47147702</v>
      </c>
      <c r="BE123" s="41">
        <f t="shared" si="143"/>
        <v>14690291.946830539</v>
      </c>
      <c r="BF123" s="41">
        <f t="shared" si="143"/>
        <v>15924788.655168828</v>
      </c>
      <c r="BG123" s="41">
        <f t="shared" si="143"/>
        <v>20612155.1461377</v>
      </c>
      <c r="BH123" s="237">
        <f t="shared" si="143"/>
        <v>19023068.957744796</v>
      </c>
      <c r="BI123" s="41"/>
      <c r="BJ123" s="41"/>
      <c r="BK123" s="41"/>
      <c r="BL123" s="286"/>
      <c r="BM123" s="41"/>
      <c r="BN123" s="216"/>
      <c r="BO123" s="205"/>
      <c r="BP123" s="205"/>
      <c r="BQ123" s="205"/>
      <c r="BR123" s="205"/>
      <c r="BS123" s="205"/>
      <c r="BT123" s="216"/>
      <c r="BU123" s="205"/>
      <c r="BV123" s="205"/>
      <c r="BW123" s="205"/>
      <c r="BX123" s="205"/>
      <c r="BY123" s="205"/>
      <c r="BZ123" s="235"/>
      <c r="CA123" s="41"/>
      <c r="CB123" s="41"/>
      <c r="CC123" s="205"/>
      <c r="CD123" s="205"/>
      <c r="CE123" s="205"/>
      <c r="CF123" s="216"/>
      <c r="CG123" s="205"/>
      <c r="CH123" s="205"/>
      <c r="CI123" s="39"/>
      <c r="CJ123" s="41"/>
      <c r="CK123" s="41"/>
      <c r="CL123" s="498"/>
      <c r="CM123" s="39"/>
      <c r="CN123" s="39"/>
      <c r="CO123" s="39"/>
      <c r="CP123" s="205"/>
      <c r="CQ123" s="205"/>
      <c r="CR123" s="282"/>
      <c r="CS123" s="205"/>
      <c r="CT123" s="41"/>
      <c r="CU123" s="41"/>
      <c r="CV123" s="41"/>
      <c r="CW123" s="41"/>
      <c r="CX123" s="237"/>
      <c r="CY123" s="41"/>
      <c r="CZ123" s="41"/>
      <c r="DA123" s="39"/>
      <c r="DB123" s="41"/>
      <c r="DC123" s="41"/>
      <c r="DD123" s="237"/>
      <c r="DE123" s="39">
        <f aca="true" t="shared" si="144" ref="DE123:DP123">AW123-CS123</f>
        <v>13720</v>
      </c>
      <c r="DF123" s="39">
        <f t="shared" si="144"/>
        <v>15354</v>
      </c>
      <c r="DG123" s="39">
        <f t="shared" si="144"/>
        <v>13423</v>
      </c>
      <c r="DH123" s="39">
        <f t="shared" si="144"/>
        <v>14551</v>
      </c>
      <c r="DI123" s="39">
        <f t="shared" si="144"/>
        <v>18834</v>
      </c>
      <c r="DJ123" s="243">
        <f t="shared" si="144"/>
        <v>17382</v>
      </c>
      <c r="DK123" s="39">
        <f t="shared" si="144"/>
        <v>15015332.303547269</v>
      </c>
      <c r="DL123" s="39">
        <f t="shared" si="144"/>
        <v>16803601.47147702</v>
      </c>
      <c r="DM123" s="39">
        <f t="shared" si="144"/>
        <v>14690291.946830539</v>
      </c>
      <c r="DN123" s="39">
        <f t="shared" si="144"/>
        <v>15924788.655168828</v>
      </c>
      <c r="DO123" s="39">
        <f t="shared" si="144"/>
        <v>20612155.1461377</v>
      </c>
      <c r="DP123" s="243">
        <f t="shared" si="144"/>
        <v>19023068.957744796</v>
      </c>
      <c r="DQ123" s="39">
        <f>DK123+Commerical!I123</f>
        <v>15015332.303547269</v>
      </c>
      <c r="DR123" s="39">
        <f>DL123+Commerical!J123</f>
        <v>16803601.47147702</v>
      </c>
      <c r="DS123" s="39">
        <f>DM123+Commerical!K123</f>
        <v>14690291.946830539</v>
      </c>
      <c r="DT123" s="39">
        <f>DN123+Commerical!L123</f>
        <v>15924788.655168828</v>
      </c>
      <c r="DU123" s="39">
        <f>DO123+Commerical!M123</f>
        <v>20612155.1461377</v>
      </c>
      <c r="DV123" s="243">
        <f>DP123+Commerical!N123</f>
        <v>19023068.957744796</v>
      </c>
      <c r="DW123" s="138"/>
      <c r="DX123" s="39"/>
      <c r="DY123" s="39"/>
      <c r="DZ123" s="38"/>
      <c r="EA123" s="546"/>
      <c r="EB123" s="39"/>
      <c r="EC123" s="38"/>
      <c r="ED123" s="38"/>
    </row>
    <row r="124" spans="1:134" ht="12.75">
      <c r="A124" s="88" t="s">
        <v>132</v>
      </c>
      <c r="B124" s="29">
        <f>Commerical!B124</f>
        <v>50</v>
      </c>
      <c r="C124" s="41"/>
      <c r="E124" s="41"/>
      <c r="F124" s="41"/>
      <c r="G124" s="235"/>
      <c r="H124" s="41"/>
      <c r="I124" s="205"/>
      <c r="J124" s="205"/>
      <c r="K124" s="205"/>
      <c r="L124" s="618"/>
      <c r="M124" s="626"/>
      <c r="N124" s="205"/>
      <c r="O124" s="205"/>
      <c r="P124" s="205"/>
      <c r="Q124" s="205"/>
      <c r="R124" s="271"/>
      <c r="S124" s="205"/>
      <c r="T124" s="205"/>
      <c r="U124" s="205"/>
      <c r="V124" s="205"/>
      <c r="W124" s="205"/>
      <c r="X124" s="216"/>
      <c r="Y124" s="205"/>
      <c r="Z124" s="205"/>
      <c r="AA124" s="205"/>
      <c r="AB124" s="205"/>
      <c r="AC124" s="38"/>
      <c r="AD124" s="41"/>
      <c r="AE124" s="616"/>
      <c r="AF124" s="205"/>
      <c r="AG124" s="205"/>
      <c r="AH124" s="205"/>
      <c r="AI124" s="205"/>
      <c r="AJ124" s="216"/>
      <c r="AK124" s="205"/>
      <c r="AL124" s="205"/>
      <c r="AM124" s="41"/>
      <c r="AN124" s="41"/>
      <c r="AO124" s="41"/>
      <c r="AP124" s="498"/>
      <c r="AQ124" s="39"/>
      <c r="AR124" s="39"/>
      <c r="AS124" s="205"/>
      <c r="AT124" s="205"/>
      <c r="AU124" s="205"/>
      <c r="AV124" s="235"/>
      <c r="AW124" s="41"/>
      <c r="AX124" s="41"/>
      <c r="AY124" s="41"/>
      <c r="AZ124" s="41"/>
      <c r="BA124" s="41"/>
      <c r="BB124" s="237"/>
      <c r="BC124" s="41"/>
      <c r="BD124" s="41"/>
      <c r="BE124" s="210"/>
      <c r="BF124" s="41"/>
      <c r="BG124" s="41"/>
      <c r="BH124" s="224"/>
      <c r="BI124" s="210"/>
      <c r="BJ124" s="210"/>
      <c r="BK124" s="41"/>
      <c r="BL124" s="286"/>
      <c r="BM124" s="41"/>
      <c r="BN124" s="216"/>
      <c r="BO124" s="205"/>
      <c r="BP124" s="205"/>
      <c r="BQ124" s="205"/>
      <c r="BR124" s="286"/>
      <c r="BS124" s="286"/>
      <c r="BT124" s="216"/>
      <c r="BU124" s="205"/>
      <c r="BV124" s="205"/>
      <c r="BW124" s="205"/>
      <c r="BX124" s="205"/>
      <c r="BY124" s="205"/>
      <c r="BZ124" s="235"/>
      <c r="CA124" s="41"/>
      <c r="CB124" s="41"/>
      <c r="CC124" s="205"/>
      <c r="CD124" s="205"/>
      <c r="CE124" s="205"/>
      <c r="CF124" s="216"/>
      <c r="CG124" s="205"/>
      <c r="CH124" s="205"/>
      <c r="CI124" s="39"/>
      <c r="CJ124" s="41"/>
      <c r="CK124" s="41"/>
      <c r="CL124" s="498"/>
      <c r="CM124" s="39"/>
      <c r="CN124" s="39"/>
      <c r="CO124" s="39"/>
      <c r="CP124" s="205"/>
      <c r="CQ124" s="205"/>
      <c r="CR124" s="282"/>
      <c r="CS124" s="205"/>
      <c r="CT124" s="41"/>
      <c r="CU124" s="41"/>
      <c r="CV124" s="41"/>
      <c r="CW124" s="41"/>
      <c r="CX124" s="237"/>
      <c r="CY124" s="41"/>
      <c r="CZ124" s="41"/>
      <c r="DA124" s="39"/>
      <c r="DB124" s="41"/>
      <c r="DC124" s="41"/>
      <c r="DD124" s="224"/>
      <c r="DE124" s="210"/>
      <c r="DF124" s="39"/>
      <c r="DG124" s="39"/>
      <c r="DH124" s="39"/>
      <c r="DI124" s="39"/>
      <c r="DJ124" s="243"/>
      <c r="DK124" s="39"/>
      <c r="DL124" s="39"/>
      <c r="DM124" s="39"/>
      <c r="DN124" s="39"/>
      <c r="DO124" s="39"/>
      <c r="DP124" s="243"/>
      <c r="DQ124" s="39">
        <f>DK124+Commerical!I124</f>
        <v>46280</v>
      </c>
      <c r="DR124" s="39">
        <f>DL124+Commerical!J124</f>
        <v>30500</v>
      </c>
      <c r="DS124" s="39">
        <f>DM124+Commerical!K124</f>
        <v>39200</v>
      </c>
      <c r="DT124" s="39">
        <f>DN124+Commerical!L124</f>
        <v>49420</v>
      </c>
      <c r="DU124" s="39">
        <f>DO124+Commerical!M124</f>
        <v>34380</v>
      </c>
      <c r="DV124" s="243">
        <f>DP124+Commerical!N124</f>
        <v>57160</v>
      </c>
      <c r="DW124" s="39"/>
      <c r="DX124" s="39"/>
      <c r="DY124" s="38"/>
      <c r="DZ124" s="38"/>
      <c r="EA124" s="546"/>
      <c r="EB124" s="38"/>
      <c r="EC124" s="38"/>
      <c r="ED124" s="38"/>
    </row>
    <row r="125" spans="1:134" ht="12.75">
      <c r="A125" s="88" t="s">
        <v>133</v>
      </c>
      <c r="B125" s="29">
        <f>Commerical!B125</f>
        <v>0.4082733333333333</v>
      </c>
      <c r="C125" s="41"/>
      <c r="E125" s="41"/>
      <c r="F125" s="41"/>
      <c r="G125" s="235"/>
      <c r="H125" s="41"/>
      <c r="I125" s="205"/>
      <c r="J125" s="205"/>
      <c r="K125" s="205"/>
      <c r="L125" s="618"/>
      <c r="M125" s="626"/>
      <c r="N125" s="205"/>
      <c r="O125" s="205"/>
      <c r="P125" s="205"/>
      <c r="Q125" s="205"/>
      <c r="R125" s="271"/>
      <c r="S125" s="205"/>
      <c r="T125" s="205"/>
      <c r="U125" s="205"/>
      <c r="V125" s="205"/>
      <c r="W125" s="205"/>
      <c r="X125" s="216"/>
      <c r="Y125" s="205"/>
      <c r="Z125" s="205"/>
      <c r="AA125" s="205"/>
      <c r="AB125" s="205"/>
      <c r="AC125" s="38"/>
      <c r="AD125" s="41"/>
      <c r="AE125" s="616"/>
      <c r="AF125" s="205"/>
      <c r="AG125" s="205"/>
      <c r="AH125" s="205"/>
      <c r="AI125" s="205"/>
      <c r="AJ125" s="216"/>
      <c r="AK125" s="205"/>
      <c r="AL125" s="205"/>
      <c r="AM125" s="41"/>
      <c r="AN125" s="41"/>
      <c r="AO125" s="41"/>
      <c r="AP125" s="498"/>
      <c r="AQ125" s="39"/>
      <c r="AR125" s="39"/>
      <c r="AS125" s="205"/>
      <c r="AT125" s="205"/>
      <c r="AU125" s="205"/>
      <c r="AV125" s="235"/>
      <c r="AW125" s="41"/>
      <c r="AX125" s="41"/>
      <c r="AY125" s="41"/>
      <c r="AZ125" s="41"/>
      <c r="BA125" s="41"/>
      <c r="BB125" s="237"/>
      <c r="BC125" s="41"/>
      <c r="BD125" s="41"/>
      <c r="BE125" s="210"/>
      <c r="BF125" s="41"/>
      <c r="BG125" s="41"/>
      <c r="BH125" s="224"/>
      <c r="BI125" s="210"/>
      <c r="BJ125" s="210"/>
      <c r="BK125" s="41"/>
      <c r="BL125" s="286"/>
      <c r="BM125" s="41"/>
      <c r="BN125" s="216"/>
      <c r="BO125" s="205"/>
      <c r="BP125" s="205"/>
      <c r="BQ125" s="205"/>
      <c r="BR125" s="286"/>
      <c r="BS125" s="286"/>
      <c r="BT125" s="216"/>
      <c r="BU125" s="205"/>
      <c r="BV125" s="205"/>
      <c r="BW125" s="205"/>
      <c r="BX125" s="205"/>
      <c r="BY125" s="205"/>
      <c r="BZ125" s="235"/>
      <c r="CA125" s="41"/>
      <c r="CB125" s="41"/>
      <c r="CC125" s="205"/>
      <c r="CD125" s="205"/>
      <c r="CE125" s="205"/>
      <c r="CF125" s="216"/>
      <c r="CG125" s="205"/>
      <c r="CH125" s="205"/>
      <c r="CI125" s="39"/>
      <c r="CJ125" s="41"/>
      <c r="CK125" s="41"/>
      <c r="CL125" s="498"/>
      <c r="CM125" s="39"/>
      <c r="CN125" s="39"/>
      <c r="CO125" s="39"/>
      <c r="CP125" s="205"/>
      <c r="CQ125" s="205"/>
      <c r="CR125" s="282"/>
      <c r="CS125" s="205"/>
      <c r="CT125" s="41"/>
      <c r="CU125" s="41"/>
      <c r="CV125" s="41"/>
      <c r="CW125" s="41"/>
      <c r="CX125" s="237"/>
      <c r="CY125" s="41"/>
      <c r="CZ125" s="41"/>
      <c r="DA125" s="39"/>
      <c r="DB125" s="41"/>
      <c r="DC125" s="41"/>
      <c r="DD125" s="224"/>
      <c r="DE125" s="210"/>
      <c r="DF125" s="39"/>
      <c r="DG125" s="39"/>
      <c r="DH125" s="39"/>
      <c r="DI125" s="39"/>
      <c r="DJ125" s="243"/>
      <c r="DK125" s="39"/>
      <c r="DL125" s="39"/>
      <c r="DM125" s="39"/>
      <c r="DN125" s="39"/>
      <c r="DO125" s="39"/>
      <c r="DP125" s="243"/>
      <c r="DQ125" s="39">
        <f>DK125+Commerical!I125</f>
        <v>12937411.211443314</v>
      </c>
      <c r="DR125" s="39">
        <f>DL125+Commerical!J125</f>
        <v>9042961.414738493</v>
      </c>
      <c r="DS125" s="39">
        <f>DM125+Commerical!K125</f>
        <v>13419931.091915548</v>
      </c>
      <c r="DT125" s="39">
        <f>DN125+Commerical!L125</f>
        <v>7076141.800427818</v>
      </c>
      <c r="DU125" s="39">
        <f>DO125+Commerical!M125</f>
        <v>14012671.249653012</v>
      </c>
      <c r="DV125" s="243">
        <f>DP125+Commerical!N125</f>
        <v>7845234.401789651</v>
      </c>
      <c r="DW125" s="39"/>
      <c r="DX125" s="39"/>
      <c r="DY125" s="38"/>
      <c r="DZ125" s="38"/>
      <c r="EA125" s="546"/>
      <c r="EB125" s="38"/>
      <c r="EC125" s="38"/>
      <c r="ED125" s="38"/>
    </row>
    <row r="126" spans="1:134" ht="12.75">
      <c r="A126" s="88" t="s">
        <v>134</v>
      </c>
      <c r="B126" s="29">
        <f>Commerical!B126</f>
        <v>16.181504321066665</v>
      </c>
      <c r="C126" s="41"/>
      <c r="E126" s="41"/>
      <c r="F126" s="41"/>
      <c r="G126" s="235"/>
      <c r="H126" s="41"/>
      <c r="I126" s="205"/>
      <c r="J126" s="205"/>
      <c r="K126" s="205"/>
      <c r="L126" s="618"/>
      <c r="M126" s="626"/>
      <c r="N126" s="205"/>
      <c r="O126" s="205"/>
      <c r="P126" s="205"/>
      <c r="Q126" s="205"/>
      <c r="R126" s="271"/>
      <c r="S126" s="205"/>
      <c r="T126" s="205"/>
      <c r="U126" s="205"/>
      <c r="V126" s="205"/>
      <c r="W126" s="205"/>
      <c r="X126" s="216"/>
      <c r="Y126" s="205"/>
      <c r="Z126" s="205"/>
      <c r="AA126" s="205"/>
      <c r="AB126" s="205"/>
      <c r="AC126" s="38"/>
      <c r="AD126" s="41"/>
      <c r="AE126" s="616"/>
      <c r="AF126" s="205"/>
      <c r="AG126" s="205"/>
      <c r="AH126" s="205"/>
      <c r="AI126" s="205"/>
      <c r="AJ126" s="216"/>
      <c r="AK126" s="205"/>
      <c r="AL126" s="205"/>
      <c r="AM126" s="41"/>
      <c r="AN126" s="41"/>
      <c r="AO126" s="41"/>
      <c r="AP126" s="498"/>
      <c r="AQ126" s="39"/>
      <c r="AR126" s="39"/>
      <c r="AS126" s="205"/>
      <c r="AT126" s="205"/>
      <c r="AU126" s="205"/>
      <c r="AV126" s="235"/>
      <c r="AW126" s="41"/>
      <c r="AX126" s="41"/>
      <c r="AY126" s="41"/>
      <c r="AZ126" s="41"/>
      <c r="BA126" s="41"/>
      <c r="BB126" s="237"/>
      <c r="BC126" s="41"/>
      <c r="BD126" s="41"/>
      <c r="BE126" s="210"/>
      <c r="BF126" s="41"/>
      <c r="BG126" s="41"/>
      <c r="BH126" s="224"/>
      <c r="BI126" s="210"/>
      <c r="BJ126" s="210"/>
      <c r="BK126" s="41"/>
      <c r="BL126" s="286"/>
      <c r="BM126" s="41"/>
      <c r="BN126" s="216"/>
      <c r="BO126" s="205"/>
      <c r="BP126" s="205"/>
      <c r="BQ126" s="205"/>
      <c r="BR126" s="286"/>
      <c r="BS126" s="286"/>
      <c r="BT126" s="216"/>
      <c r="BU126" s="205"/>
      <c r="BV126" s="205"/>
      <c r="BW126" s="205"/>
      <c r="BX126" s="205"/>
      <c r="BY126" s="205"/>
      <c r="BZ126" s="235"/>
      <c r="CA126" s="41"/>
      <c r="CB126" s="41"/>
      <c r="CC126" s="205"/>
      <c r="CD126" s="205"/>
      <c r="CE126" s="205"/>
      <c r="CF126" s="216"/>
      <c r="CG126" s="205"/>
      <c r="CH126" s="205"/>
      <c r="CI126" s="39"/>
      <c r="CJ126" s="41"/>
      <c r="CK126" s="41"/>
      <c r="CL126" s="498"/>
      <c r="CM126" s="39"/>
      <c r="CN126" s="39"/>
      <c r="CO126" s="39"/>
      <c r="CP126" s="205"/>
      <c r="CQ126" s="205"/>
      <c r="CR126" s="282"/>
      <c r="CS126" s="205"/>
      <c r="CT126" s="41"/>
      <c r="CU126" s="41"/>
      <c r="CV126" s="41"/>
      <c r="CW126" s="41"/>
      <c r="CX126" s="237"/>
      <c r="CY126" s="41"/>
      <c r="CZ126" s="41"/>
      <c r="DA126" s="39"/>
      <c r="DB126" s="41"/>
      <c r="DC126" s="41"/>
      <c r="DD126" s="224"/>
      <c r="DE126" s="210"/>
      <c r="DF126" s="39"/>
      <c r="DG126" s="39"/>
      <c r="DH126" s="39"/>
      <c r="DI126" s="39"/>
      <c r="DJ126" s="243"/>
      <c r="DK126" s="39"/>
      <c r="DL126" s="39"/>
      <c r="DM126" s="39"/>
      <c r="DN126" s="39"/>
      <c r="DO126" s="39"/>
      <c r="DP126" s="243"/>
      <c r="DQ126" s="39">
        <f>DK126+Commerical!I126</f>
        <v>445694.03789057565</v>
      </c>
      <c r="DR126" s="39">
        <f>DL126+Commerical!J126</f>
        <v>451564.9382787627</v>
      </c>
      <c r="DS126" s="39">
        <f>DM126+Commerical!K126</f>
        <v>459413.4051134969</v>
      </c>
      <c r="DT126" s="39">
        <f>DN126+Commerical!L126</f>
        <v>437042.18468693167</v>
      </c>
      <c r="DU126" s="39">
        <f>DO126+Commerical!M126</f>
        <v>456261.6585893123</v>
      </c>
      <c r="DV126" s="243">
        <f>DP126+Commerical!N126</f>
        <v>408058.4764547242</v>
      </c>
      <c r="DW126" s="39"/>
      <c r="DX126" s="39"/>
      <c r="DY126" s="38"/>
      <c r="DZ126" s="38"/>
      <c r="EA126" s="546"/>
      <c r="EB126" s="38"/>
      <c r="EC126" s="38"/>
      <c r="ED126" s="38"/>
    </row>
    <row r="127" spans="1:134" ht="12.75">
      <c r="A127" s="88" t="s">
        <v>135</v>
      </c>
      <c r="B127" s="29">
        <f>Commerical!B127</f>
        <v>832.5413512333333</v>
      </c>
      <c r="C127" s="41">
        <v>5072</v>
      </c>
      <c r="D127" s="41">
        <v>5260</v>
      </c>
      <c r="E127" s="397">
        <v>5346</v>
      </c>
      <c r="F127" s="397">
        <v>5747</v>
      </c>
      <c r="G127" s="495">
        <v>5617</v>
      </c>
      <c r="H127" s="401"/>
      <c r="I127" s="205"/>
      <c r="J127" s="205"/>
      <c r="K127" s="205"/>
      <c r="L127" s="618"/>
      <c r="M127" s="626"/>
      <c r="N127" s="205"/>
      <c r="O127" s="205"/>
      <c r="P127" s="205"/>
      <c r="Q127" s="205"/>
      <c r="R127" s="271">
        <v>7032</v>
      </c>
      <c r="S127" s="205">
        <v>2331</v>
      </c>
      <c r="T127" s="205">
        <v>2358</v>
      </c>
      <c r="U127" s="205">
        <v>1807</v>
      </c>
      <c r="V127" s="397">
        <v>2953</v>
      </c>
      <c r="W127" s="397">
        <v>2949</v>
      </c>
      <c r="X127" s="216">
        <v>3303</v>
      </c>
      <c r="Y127" s="205"/>
      <c r="Z127" s="205"/>
      <c r="AA127" s="205"/>
      <c r="AB127" s="205"/>
      <c r="AC127" s="38"/>
      <c r="AD127" s="39"/>
      <c r="AE127" s="629"/>
      <c r="AF127" s="205"/>
      <c r="AG127" s="205"/>
      <c r="AH127" s="205"/>
      <c r="AI127" s="205"/>
      <c r="AJ127" s="216"/>
      <c r="AK127" s="205"/>
      <c r="AL127" s="205"/>
      <c r="AM127" s="39"/>
      <c r="AN127" s="39"/>
      <c r="AO127" s="39"/>
      <c r="AP127" s="498"/>
      <c r="AQ127" s="39"/>
      <c r="AR127" s="39"/>
      <c r="AS127" s="205"/>
      <c r="AT127" s="205"/>
      <c r="AU127" s="205"/>
      <c r="AV127" s="235"/>
      <c r="AW127" s="41">
        <f>(C127+H127+M127+S127+Y127+(AE127/0.212)+(AK127/0.55)+(AQ127/0.635))</f>
        <v>7403</v>
      </c>
      <c r="AX127" s="41">
        <f t="shared" si="75"/>
        <v>7618</v>
      </c>
      <c r="AY127" s="41">
        <f t="shared" si="76"/>
        <v>7153</v>
      </c>
      <c r="AZ127" s="41">
        <f>(F127+K127+P127+V127+AB127+(AH127/0.212)+(AN127/0.55)+(AT127/0.635))</f>
        <v>8700</v>
      </c>
      <c r="BA127" s="41">
        <f>(G127+L127+Q127+W127+AC127+(AI127/0.212)+(AO127/0.55)+(AU127/0.635))</f>
        <v>8566</v>
      </c>
      <c r="BB127" s="237">
        <f>(R127+X127+AD127+(AJ127/0.212)+(AP127/0.55)+(AV127/0.635))</f>
        <v>10335</v>
      </c>
      <c r="BC127" s="41">
        <f aca="true" t="shared" si="145" ref="BC127:BH127">AW127*1000/0.45359237/$B127</f>
        <v>19603.616379377065</v>
      </c>
      <c r="BD127" s="41">
        <f t="shared" si="145"/>
        <v>20172.950098351273</v>
      </c>
      <c r="BE127" s="41">
        <f t="shared" si="145"/>
        <v>18941.60042708147</v>
      </c>
      <c r="BF127" s="41">
        <f t="shared" si="145"/>
        <v>23038.155139886596</v>
      </c>
      <c r="BG127" s="41">
        <f t="shared" si="145"/>
        <v>22683.314589456157</v>
      </c>
      <c r="BH127" s="237">
        <f t="shared" si="145"/>
        <v>27367.739467899763</v>
      </c>
      <c r="BI127" s="41">
        <v>206</v>
      </c>
      <c r="BJ127" s="41">
        <v>135</v>
      </c>
      <c r="BK127" s="41">
        <v>145</v>
      </c>
      <c r="BL127" s="400">
        <v>122</v>
      </c>
      <c r="BM127" s="400">
        <v>147</v>
      </c>
      <c r="BN127" s="216">
        <v>0</v>
      </c>
      <c r="BO127" s="205">
        <v>62</v>
      </c>
      <c r="BP127" s="205">
        <v>114</v>
      </c>
      <c r="BQ127" s="205">
        <v>62</v>
      </c>
      <c r="BR127" s="400">
        <v>72</v>
      </c>
      <c r="BS127" s="400">
        <v>50</v>
      </c>
      <c r="BT127" s="216">
        <v>0</v>
      </c>
      <c r="BU127" s="205"/>
      <c r="BV127" s="205"/>
      <c r="BW127" s="205"/>
      <c r="BX127" s="205"/>
      <c r="BY127" s="205"/>
      <c r="BZ127" s="498"/>
      <c r="CA127" s="39"/>
      <c r="CB127" s="39"/>
      <c r="CC127" s="205"/>
      <c r="CD127" s="205"/>
      <c r="CE127" s="205"/>
      <c r="CF127" s="216"/>
      <c r="CG127" s="205"/>
      <c r="CH127" s="205"/>
      <c r="CI127" s="39"/>
      <c r="CJ127" s="39"/>
      <c r="CK127" s="39"/>
      <c r="CL127" s="498"/>
      <c r="CM127" s="39"/>
      <c r="CN127" s="39"/>
      <c r="CO127" s="39"/>
      <c r="CP127" s="205"/>
      <c r="CQ127" s="205"/>
      <c r="CR127" s="282"/>
      <c r="CS127" s="41">
        <f aca="true" t="shared" si="146" ref="CS127:CX127">(BI127+BO127+BU127+(CA127/0.212)+(CG127/0.55)+(CM127/0.635))</f>
        <v>268</v>
      </c>
      <c r="CT127" s="41">
        <f t="shared" si="146"/>
        <v>249</v>
      </c>
      <c r="CU127" s="41">
        <f t="shared" si="146"/>
        <v>207</v>
      </c>
      <c r="CV127" s="41">
        <f t="shared" si="146"/>
        <v>194</v>
      </c>
      <c r="CW127" s="41">
        <f t="shared" si="146"/>
        <v>197</v>
      </c>
      <c r="CX127" s="237">
        <f t="shared" si="146"/>
        <v>0</v>
      </c>
      <c r="CY127" s="41">
        <f aca="true" t="shared" si="147" ref="CY127:CY135">CS127*1000/0.45359237/$B127</f>
        <v>709.6811008608744</v>
      </c>
      <c r="CZ127" s="41">
        <f>CT127*1000/0.45359237/$B127</f>
        <v>659.3678884864095</v>
      </c>
      <c r="DA127" s="41">
        <f>CU127*1000/0.45359237/$B127</f>
        <v>548.14920850075</v>
      </c>
      <c r="DB127" s="41">
        <f>CV127*1000/0.45359237/$B127</f>
        <v>513.7243789813792</v>
      </c>
      <c r="DC127" s="41">
        <f>CW127*1000/0.45359237/$B127</f>
        <v>521.6685704089264</v>
      </c>
      <c r="DD127" s="237">
        <f>CX127*1000/0.45359237/$B127</f>
        <v>0</v>
      </c>
      <c r="DE127" s="39">
        <f aca="true" t="shared" si="148" ref="DE127:DJ127">AW127-CS127</f>
        <v>7135</v>
      </c>
      <c r="DF127" s="39">
        <f t="shared" si="148"/>
        <v>7369</v>
      </c>
      <c r="DG127" s="39">
        <f t="shared" si="148"/>
        <v>6946</v>
      </c>
      <c r="DH127" s="39">
        <f t="shared" si="148"/>
        <v>8506</v>
      </c>
      <c r="DI127" s="39">
        <f t="shared" si="148"/>
        <v>8369</v>
      </c>
      <c r="DJ127" s="243">
        <f t="shared" si="148"/>
        <v>10335</v>
      </c>
      <c r="DK127" s="39">
        <f aca="true" t="shared" si="149" ref="DK127:DK153">BC127-CY127</f>
        <v>18893.93527851619</v>
      </c>
      <c r="DL127" s="39">
        <f>BD127-CZ127</f>
        <v>19513.582209864864</v>
      </c>
      <c r="DM127" s="39">
        <f>BE127-DA127</f>
        <v>18393.45121858072</v>
      </c>
      <c r="DN127" s="39">
        <f>BF127-DB127</f>
        <v>22524.430760905216</v>
      </c>
      <c r="DO127" s="39">
        <f>BG127-DC127</f>
        <v>22161.64601904723</v>
      </c>
      <c r="DP127" s="243">
        <f>BH127-DD127</f>
        <v>27367.739467899763</v>
      </c>
      <c r="DQ127" s="39">
        <f>DK127+Commerical!I127</f>
        <v>29133.666899499338</v>
      </c>
      <c r="DR127" s="39">
        <f>DL127+Commerical!J127</f>
        <v>28805.613156483705</v>
      </c>
      <c r="DS127" s="39">
        <f>DM127+Commerical!K127</f>
        <v>29040.36982132496</v>
      </c>
      <c r="DT127" s="39">
        <f>DN127+Commerical!L127</f>
        <v>32221.246406206912</v>
      </c>
      <c r="DU127" s="39">
        <f>DO127+Commerical!M127</f>
        <v>32084.27627370316</v>
      </c>
      <c r="DV127" s="243">
        <f>DP127+Commerical!N127</f>
        <v>35618.38070010307</v>
      </c>
      <c r="DW127" s="39"/>
      <c r="DX127" s="39"/>
      <c r="DY127" s="217"/>
      <c r="DZ127" s="38"/>
      <c r="EA127" s="546"/>
      <c r="EB127" s="38"/>
      <c r="EC127" s="217"/>
      <c r="ED127" s="38"/>
    </row>
    <row r="128" spans="1:134" ht="12.75">
      <c r="A128" s="88" t="s">
        <v>136</v>
      </c>
      <c r="B128" s="29">
        <f>Commerical!B128</f>
        <v>3.1364150800000004</v>
      </c>
      <c r="C128" s="41"/>
      <c r="E128" s="41"/>
      <c r="F128" s="41"/>
      <c r="G128" s="235"/>
      <c r="H128" s="41"/>
      <c r="I128" s="205"/>
      <c r="J128" s="205"/>
      <c r="K128" s="205"/>
      <c r="L128" s="618"/>
      <c r="M128" s="626"/>
      <c r="N128" s="205"/>
      <c r="O128" s="205"/>
      <c r="P128" s="205"/>
      <c r="Q128" s="205"/>
      <c r="R128" s="271"/>
      <c r="S128" s="205"/>
      <c r="T128" s="205"/>
      <c r="U128" s="205"/>
      <c r="V128" s="205"/>
      <c r="W128" s="205"/>
      <c r="X128" s="216"/>
      <c r="Y128" s="205"/>
      <c r="Z128" s="205"/>
      <c r="AA128" s="205"/>
      <c r="AB128" s="205"/>
      <c r="AC128" s="38"/>
      <c r="AD128" s="41"/>
      <c r="AE128" s="616"/>
      <c r="AF128" s="205"/>
      <c r="AG128" s="205"/>
      <c r="AH128" s="205"/>
      <c r="AI128" s="205"/>
      <c r="AJ128" s="216"/>
      <c r="AK128" s="205"/>
      <c r="AL128" s="205"/>
      <c r="AM128" s="41"/>
      <c r="AN128" s="41"/>
      <c r="AO128" s="41"/>
      <c r="AP128" s="498"/>
      <c r="AQ128" s="39"/>
      <c r="AR128" s="39"/>
      <c r="AS128" s="205"/>
      <c r="AT128" s="205"/>
      <c r="AU128" s="205"/>
      <c r="AV128" s="235"/>
      <c r="AW128" s="41"/>
      <c r="AX128" s="41"/>
      <c r="AY128" s="41"/>
      <c r="AZ128" s="41"/>
      <c r="BA128" s="41"/>
      <c r="BB128" s="237"/>
      <c r="BC128" s="41"/>
      <c r="BD128" s="41"/>
      <c r="BE128" s="210"/>
      <c r="BF128" s="41"/>
      <c r="BG128" s="41"/>
      <c r="BH128" s="224"/>
      <c r="BI128" s="210"/>
      <c r="BJ128" s="210"/>
      <c r="BK128" s="41"/>
      <c r="BL128" s="286"/>
      <c r="BM128" s="41"/>
      <c r="BN128" s="216"/>
      <c r="BO128" s="205"/>
      <c r="BP128" s="205"/>
      <c r="BQ128" s="205"/>
      <c r="BR128" s="205"/>
      <c r="BS128" s="205"/>
      <c r="BT128" s="216"/>
      <c r="BU128" s="205"/>
      <c r="BV128" s="205"/>
      <c r="BW128" s="205"/>
      <c r="BX128" s="205"/>
      <c r="BY128" s="205"/>
      <c r="BZ128" s="235"/>
      <c r="CA128" s="41"/>
      <c r="CB128" s="41"/>
      <c r="CC128" s="205"/>
      <c r="CD128" s="205"/>
      <c r="CE128" s="205"/>
      <c r="CF128" s="216"/>
      <c r="CG128" s="205"/>
      <c r="CH128" s="205"/>
      <c r="CI128" s="39"/>
      <c r="CJ128" s="41"/>
      <c r="CK128" s="41"/>
      <c r="CL128" s="498"/>
      <c r="CM128" s="39"/>
      <c r="CN128" s="39"/>
      <c r="CO128" s="39"/>
      <c r="CP128" s="205"/>
      <c r="CQ128" s="205"/>
      <c r="CR128" s="282"/>
      <c r="CS128" s="205"/>
      <c r="CT128" s="41"/>
      <c r="CU128" s="41"/>
      <c r="CV128" s="41"/>
      <c r="CW128" s="41"/>
      <c r="CX128" s="237"/>
      <c r="CY128" s="41"/>
      <c r="CZ128" s="41"/>
      <c r="DA128" s="39"/>
      <c r="DB128" s="41"/>
      <c r="DC128" s="41"/>
      <c r="DD128" s="224"/>
      <c r="DE128" s="210"/>
      <c r="DF128" s="39"/>
      <c r="DG128" s="39"/>
      <c r="DH128" s="39"/>
      <c r="DI128" s="39"/>
      <c r="DJ128" s="243"/>
      <c r="DK128" s="39"/>
      <c r="DL128" s="39"/>
      <c r="DM128" s="39"/>
      <c r="DN128" s="39"/>
      <c r="DO128" s="39"/>
      <c r="DP128" s="243"/>
      <c r="DQ128" s="39">
        <f>DK128+Commerical!I128</f>
        <v>102664.98272288627</v>
      </c>
      <c r="DR128" s="39">
        <f>DL128+Commerical!J128</f>
        <v>500571.49961158837</v>
      </c>
      <c r="DS128" s="39">
        <f>DM128+Commerical!K128</f>
        <v>190025.86864236093</v>
      </c>
      <c r="DT128" s="39">
        <f>DN128+Commerical!L128</f>
        <v>285676.4736636835</v>
      </c>
      <c r="DU128" s="39">
        <f>DO128+Commerical!M128</f>
        <v>386428.44428614335</v>
      </c>
      <c r="DV128" s="243">
        <f>DP128+Commerical!N128</f>
        <v>564338.5696258034</v>
      </c>
      <c r="DW128" s="39"/>
      <c r="DX128" s="39"/>
      <c r="DY128" s="38"/>
      <c r="DZ128" s="38"/>
      <c r="EA128" s="546"/>
      <c r="EB128" s="38"/>
      <c r="EC128" s="38"/>
      <c r="ED128" s="38"/>
    </row>
    <row r="129" spans="1:134" ht="12.75">
      <c r="A129" s="88" t="s">
        <v>472</v>
      </c>
      <c r="B129" s="29">
        <f>'Ave weights'!Q195</f>
        <v>1.5</v>
      </c>
      <c r="C129" s="41">
        <v>39652</v>
      </c>
      <c r="D129" s="397">
        <v>40890</v>
      </c>
      <c r="E129" s="397">
        <v>44174</v>
      </c>
      <c r="F129" s="397">
        <v>49648</v>
      </c>
      <c r="G129" s="495">
        <v>46943</v>
      </c>
      <c r="H129" s="401"/>
      <c r="I129" s="205"/>
      <c r="J129" s="205"/>
      <c r="K129" s="205"/>
      <c r="L129" s="618"/>
      <c r="M129" s="626"/>
      <c r="N129" s="205"/>
      <c r="O129" s="205"/>
      <c r="P129" s="205"/>
      <c r="Q129" s="205"/>
      <c r="R129" s="271">
        <v>60772</v>
      </c>
      <c r="S129" s="205">
        <v>153248</v>
      </c>
      <c r="T129" s="205">
        <v>174488</v>
      </c>
      <c r="U129" s="205">
        <v>139120</v>
      </c>
      <c r="V129" s="397">
        <v>129817</v>
      </c>
      <c r="W129" s="397">
        <v>126812</v>
      </c>
      <c r="X129" s="216">
        <v>97482</v>
      </c>
      <c r="Y129" s="205"/>
      <c r="Z129" s="205"/>
      <c r="AA129" s="205"/>
      <c r="AB129" s="205"/>
      <c r="AC129" s="38"/>
      <c r="AD129" s="41"/>
      <c r="AE129" s="616"/>
      <c r="AF129" s="205"/>
      <c r="AG129" s="205"/>
      <c r="AH129" s="205"/>
      <c r="AI129" s="205"/>
      <c r="AJ129" s="216"/>
      <c r="AK129" s="205"/>
      <c r="AL129" s="205"/>
      <c r="AM129" s="41"/>
      <c r="AN129" s="41"/>
      <c r="AO129" s="41"/>
      <c r="AP129" s="498"/>
      <c r="AQ129" s="39"/>
      <c r="AR129" s="39"/>
      <c r="AS129" s="205"/>
      <c r="AT129" s="205"/>
      <c r="AU129" s="205"/>
      <c r="AV129" s="235"/>
      <c r="AW129" s="41">
        <f>(C129+H129+M129+S129+Y129+(AE129/0.212)+(AK129/0.55)+(AQ129/0.635))</f>
        <v>192900</v>
      </c>
      <c r="AX129" s="41">
        <f t="shared" si="75"/>
        <v>215378</v>
      </c>
      <c r="AY129" s="41">
        <f t="shared" si="76"/>
        <v>183294</v>
      </c>
      <c r="AZ129" s="41">
        <f>(F129+K129+P129+V129+AB129+(AH129/0.212)+(AN129/0.55)+(AT129/0.635))</f>
        <v>179465</v>
      </c>
      <c r="BA129" s="41">
        <f>(G129+L129+Q129+W129+AC129+(AI129/0.212)+(AO129/0.55)+(AU129/0.635))</f>
        <v>173755</v>
      </c>
      <c r="BB129" s="237">
        <f>(R129+X129+AD129+(AJ129/0.212)+(AP129/0.55)+(AV129/0.635))</f>
        <v>158254</v>
      </c>
      <c r="BC129" s="41">
        <f aca="true" t="shared" si="150" ref="BC129:BH129">AW129*1000/0.45359237/$B129</f>
        <v>283514469.16975254</v>
      </c>
      <c r="BD129" s="41">
        <f t="shared" si="150"/>
        <v>316551474.0323637</v>
      </c>
      <c r="BE129" s="41">
        <f t="shared" si="150"/>
        <v>269396065.89943296</v>
      </c>
      <c r="BF129" s="41">
        <f t="shared" si="150"/>
        <v>263768399.22006035</v>
      </c>
      <c r="BG129" s="41">
        <f t="shared" si="150"/>
        <v>255376135.77288935</v>
      </c>
      <c r="BH129" s="237">
        <f t="shared" si="150"/>
        <v>232593565.5987041</v>
      </c>
      <c r="BI129" s="41">
        <v>365</v>
      </c>
      <c r="BJ129" s="41">
        <v>911</v>
      </c>
      <c r="BK129" s="41">
        <v>825</v>
      </c>
      <c r="BL129" s="400">
        <v>272</v>
      </c>
      <c r="BM129" s="401">
        <v>1438</v>
      </c>
      <c r="BN129" s="216">
        <v>4218</v>
      </c>
      <c r="BO129" s="205"/>
      <c r="BP129" s="205">
        <v>403</v>
      </c>
      <c r="BQ129" s="205">
        <v>1987</v>
      </c>
      <c r="BR129" s="400">
        <v>614</v>
      </c>
      <c r="BS129" s="400">
        <v>526</v>
      </c>
      <c r="BT129" s="216">
        <v>653</v>
      </c>
      <c r="BU129" s="205"/>
      <c r="BV129" s="205"/>
      <c r="BW129" s="205"/>
      <c r="BX129" s="205"/>
      <c r="BY129" s="205"/>
      <c r="BZ129" s="235"/>
      <c r="CA129" s="41"/>
      <c r="CB129" s="41"/>
      <c r="CC129" s="205"/>
      <c r="CD129" s="205"/>
      <c r="CE129" s="205"/>
      <c r="CF129" s="216"/>
      <c r="CG129" s="205"/>
      <c r="CH129" s="205"/>
      <c r="CI129" s="39"/>
      <c r="CJ129" s="41"/>
      <c r="CK129" s="41"/>
      <c r="CL129" s="498"/>
      <c r="CM129" s="39"/>
      <c r="CN129" s="39"/>
      <c r="CO129" s="39"/>
      <c r="CP129" s="205"/>
      <c r="CQ129" s="205"/>
      <c r="CR129" s="282"/>
      <c r="CS129" s="41">
        <f aca="true" t="shared" si="151" ref="CS129:CX129">(BI129+BO129+BU129+(CA129/0.212)+(CG129/0.55)+(CM129/0.635))</f>
        <v>365</v>
      </c>
      <c r="CT129" s="41">
        <f t="shared" si="151"/>
        <v>1314</v>
      </c>
      <c r="CU129" s="41">
        <f t="shared" si="151"/>
        <v>2812</v>
      </c>
      <c r="CV129" s="41">
        <f t="shared" si="151"/>
        <v>886</v>
      </c>
      <c r="CW129" s="41">
        <f t="shared" si="151"/>
        <v>1964</v>
      </c>
      <c r="CX129" s="237">
        <f t="shared" si="151"/>
        <v>4871</v>
      </c>
      <c r="CY129" s="41">
        <f t="shared" si="147"/>
        <v>536458.1713165354</v>
      </c>
      <c r="CZ129" s="41">
        <f>CT129*1000/0.45359237/$B129</f>
        <v>1931249.4167395274</v>
      </c>
      <c r="DA129" s="41">
        <f>CU129*1000/0.45359237/$B129</f>
        <v>4132932.541759171</v>
      </c>
      <c r="DB129" s="41">
        <f>CV129*1000/0.45359237/$B129</f>
        <v>1302197.0953053434</v>
      </c>
      <c r="DC129" s="41">
        <f>CW129*1000/0.45359237/$B129</f>
        <v>2886585.8862073305</v>
      </c>
      <c r="DD129" s="237">
        <f>CX129*1000/0.45359237/$B129</f>
        <v>7159144.527350258</v>
      </c>
      <c r="DE129" s="39">
        <f aca="true" t="shared" si="152" ref="DE129:DJ129">AW129-CS129</f>
        <v>192535</v>
      </c>
      <c r="DF129" s="39">
        <f t="shared" si="152"/>
        <v>214064</v>
      </c>
      <c r="DG129" s="39">
        <f t="shared" si="152"/>
        <v>180482</v>
      </c>
      <c r="DH129" s="39">
        <f t="shared" si="152"/>
        <v>178579</v>
      </c>
      <c r="DI129" s="39">
        <f t="shared" si="152"/>
        <v>171791</v>
      </c>
      <c r="DJ129" s="243">
        <f t="shared" si="152"/>
        <v>153383</v>
      </c>
      <c r="DK129" s="39">
        <f t="shared" si="149"/>
        <v>282978010.998436</v>
      </c>
      <c r="DL129" s="39">
        <f>BD129-CZ129</f>
        <v>314620224.6156242</v>
      </c>
      <c r="DM129" s="39">
        <f>BE129-DA129</f>
        <v>265263133.3576738</v>
      </c>
      <c r="DN129" s="39">
        <f>BF129-DB129</f>
        <v>262466202.124755</v>
      </c>
      <c r="DO129" s="39">
        <f>BG129-DC129</f>
        <v>252489549.886682</v>
      </c>
      <c r="DP129" s="243">
        <f>BH129-DD129</f>
        <v>225434421.07135385</v>
      </c>
      <c r="DQ129" s="39">
        <f>DK129+Commerical!I129</f>
        <v>282978010.998436</v>
      </c>
      <c r="DR129" s="213">
        <f>DL129+Commerical!J129</f>
        <v>314620224.6156242</v>
      </c>
      <c r="DS129" s="39">
        <f>DM129+Commerical!K129</f>
        <v>265263133.3576738</v>
      </c>
      <c r="DT129" s="39">
        <f>DN129+Commerical!L129</f>
        <v>262466202.124755</v>
      </c>
      <c r="DU129" s="39">
        <f>DO129+Commerical!M129</f>
        <v>252489549.886682</v>
      </c>
      <c r="DV129" s="243">
        <f>DP129+Commerical!N129</f>
        <v>225434421.07135385</v>
      </c>
      <c r="DW129" s="39"/>
      <c r="DX129" s="39"/>
      <c r="DY129" s="38"/>
      <c r="DZ129" s="217"/>
      <c r="EA129" s="546"/>
      <c r="EB129" s="38"/>
      <c r="EC129" s="38"/>
      <c r="ED129" s="38"/>
    </row>
    <row r="130" spans="1:134" ht="12.75">
      <c r="A130" s="88" t="s">
        <v>443</v>
      </c>
      <c r="B130" s="29">
        <f>Commerical!B130</f>
        <v>10</v>
      </c>
      <c r="C130" s="41"/>
      <c r="E130" s="16"/>
      <c r="F130" s="16"/>
      <c r="G130" s="497"/>
      <c r="H130" s="210"/>
      <c r="I130" s="205"/>
      <c r="J130" s="205"/>
      <c r="K130" s="205"/>
      <c r="L130" s="618"/>
      <c r="M130" s="626"/>
      <c r="N130" s="205"/>
      <c r="O130" s="205"/>
      <c r="P130" s="205"/>
      <c r="Q130" s="206"/>
      <c r="R130" s="274"/>
      <c r="S130" s="206"/>
      <c r="V130" s="206"/>
      <c r="W130" s="206"/>
      <c r="X130" s="240"/>
      <c r="Y130" s="206"/>
      <c r="Z130" s="206"/>
      <c r="AA130" s="206"/>
      <c r="AB130" s="206"/>
      <c r="AC130" s="38"/>
      <c r="AD130" s="218"/>
      <c r="AE130" s="630"/>
      <c r="AF130" s="206"/>
      <c r="AG130" s="206"/>
      <c r="AH130" s="206"/>
      <c r="AI130" s="206"/>
      <c r="AJ130" s="240"/>
      <c r="AK130" s="206"/>
      <c r="AL130" s="206"/>
      <c r="AM130" s="218"/>
      <c r="AN130" s="218"/>
      <c r="AO130" s="218"/>
      <c r="AP130" s="275"/>
      <c r="AQ130" s="210"/>
      <c r="AR130" s="210"/>
      <c r="AS130" s="206"/>
      <c r="AT130" s="206"/>
      <c r="AU130" s="206"/>
      <c r="AV130" s="411"/>
      <c r="AW130" s="211"/>
      <c r="AX130" s="41"/>
      <c r="AY130" s="41"/>
      <c r="AZ130" s="41"/>
      <c r="BA130" s="41"/>
      <c r="BB130" s="237"/>
      <c r="BC130" s="41"/>
      <c r="BD130" s="41"/>
      <c r="BE130" s="210"/>
      <c r="BF130" s="41"/>
      <c r="BG130" s="41"/>
      <c r="BH130" s="224"/>
      <c r="BI130" s="210"/>
      <c r="BJ130" s="210"/>
      <c r="BK130" s="41"/>
      <c r="BL130" s="286"/>
      <c r="BM130" s="286"/>
      <c r="BN130" s="240"/>
      <c r="BO130" s="206"/>
      <c r="BP130" s="206"/>
      <c r="BQ130" s="206"/>
      <c r="BR130" s="206"/>
      <c r="BS130" s="206"/>
      <c r="BT130" s="240"/>
      <c r="BU130" s="206"/>
      <c r="BV130" s="206"/>
      <c r="BW130" s="206"/>
      <c r="BX130" s="206"/>
      <c r="BY130" s="206"/>
      <c r="BZ130" s="511"/>
      <c r="CA130" s="218"/>
      <c r="CB130" s="218"/>
      <c r="CC130" s="206"/>
      <c r="CD130" s="206"/>
      <c r="CE130" s="206"/>
      <c r="CF130" s="216"/>
      <c r="CG130" s="205"/>
      <c r="CH130" s="205"/>
      <c r="CI130" s="39"/>
      <c r="CJ130" s="218"/>
      <c r="CK130" s="218"/>
      <c r="CL130" s="275"/>
      <c r="CM130" s="210"/>
      <c r="CN130" s="210"/>
      <c r="CO130" s="39"/>
      <c r="CP130" s="206"/>
      <c r="CQ130" s="206"/>
      <c r="CR130" s="283"/>
      <c r="CS130" s="206"/>
      <c r="CT130" s="211"/>
      <c r="CU130" s="41"/>
      <c r="CV130" s="41"/>
      <c r="CW130" s="41"/>
      <c r="CX130" s="237"/>
      <c r="CY130" s="41"/>
      <c r="CZ130" s="41"/>
      <c r="DA130" s="39"/>
      <c r="DB130" s="41"/>
      <c r="DC130" s="41"/>
      <c r="DD130" s="224"/>
      <c r="DE130" s="210"/>
      <c r="DF130" s="39"/>
      <c r="DG130" s="39"/>
      <c r="DH130" s="39"/>
      <c r="DI130" s="39"/>
      <c r="DJ130" s="243"/>
      <c r="DK130" s="39"/>
      <c r="DL130" s="39"/>
      <c r="DM130" s="39"/>
      <c r="DN130" s="39"/>
      <c r="DO130" s="39"/>
      <c r="DP130" s="243"/>
      <c r="DQ130" s="39">
        <f>DK130+Commerical!I130</f>
        <v>288600</v>
      </c>
      <c r="DR130" s="39">
        <f>DL130+Commerical!J130</f>
        <v>317300</v>
      </c>
      <c r="DS130" s="39">
        <f>DM130+Commerical!K130</f>
        <v>337600</v>
      </c>
      <c r="DT130" s="39">
        <f>DN130+Commerical!L130</f>
        <v>295200</v>
      </c>
      <c r="DU130" s="39">
        <f>DO130+Commerical!M130</f>
        <v>257000</v>
      </c>
      <c r="DV130" s="243">
        <f>DP130+Commerical!N130</f>
        <v>309000</v>
      </c>
      <c r="DW130" s="39"/>
      <c r="DX130" s="39"/>
      <c r="DY130" s="16"/>
      <c r="DZ130" s="38"/>
      <c r="EA130" s="546"/>
      <c r="EB130" s="16"/>
      <c r="EC130" s="16"/>
      <c r="ED130" s="38"/>
    </row>
    <row r="131" spans="1:134" ht="12.75">
      <c r="A131" s="88" t="s">
        <v>703</v>
      </c>
      <c r="B131" s="29">
        <f>Commerical!B131</f>
        <v>21</v>
      </c>
      <c r="C131" s="41">
        <v>5303</v>
      </c>
      <c r="D131" s="397">
        <v>6177</v>
      </c>
      <c r="E131" s="397">
        <v>15963</v>
      </c>
      <c r="F131" s="397">
        <v>7627</v>
      </c>
      <c r="G131" s="495">
        <v>8244</v>
      </c>
      <c r="H131" s="401"/>
      <c r="J131" s="205"/>
      <c r="K131" s="205"/>
      <c r="L131" s="618"/>
      <c r="M131" s="626"/>
      <c r="N131" s="205"/>
      <c r="O131" s="205"/>
      <c r="P131" s="205"/>
      <c r="Q131" s="206"/>
      <c r="R131" s="274">
        <v>9185</v>
      </c>
      <c r="S131" s="206">
        <v>2953</v>
      </c>
      <c r="T131" s="205">
        <v>1630</v>
      </c>
      <c r="U131" s="205">
        <v>2688</v>
      </c>
      <c r="V131" s="397">
        <v>2256</v>
      </c>
      <c r="W131" s="397">
        <v>1985</v>
      </c>
      <c r="X131" s="240">
        <v>2237</v>
      </c>
      <c r="Y131" s="206"/>
      <c r="Z131" s="206"/>
      <c r="AA131" s="206"/>
      <c r="AB131" s="206"/>
      <c r="AC131" s="38"/>
      <c r="AD131" s="218"/>
      <c r="AE131" s="630"/>
      <c r="AF131" s="206"/>
      <c r="AG131" s="206"/>
      <c r="AH131" s="206"/>
      <c r="AI131" s="206"/>
      <c r="AJ131" s="240"/>
      <c r="AK131" s="206"/>
      <c r="AL131" s="206"/>
      <c r="AM131" s="218"/>
      <c r="AN131" s="218"/>
      <c r="AO131" s="218"/>
      <c r="AP131" s="275"/>
      <c r="AQ131" s="210"/>
      <c r="AR131" s="210"/>
      <c r="AS131" s="206"/>
      <c r="AT131" s="206"/>
      <c r="AU131" s="206"/>
      <c r="AV131" s="411"/>
      <c r="AW131" s="41">
        <f>(C131+H131+M131+S131+Y131+(AE131/0.212)+(AK131/0.55)+(AQ131/0.635))</f>
        <v>8256</v>
      </c>
      <c r="AX131" s="41">
        <f t="shared" si="75"/>
        <v>7807</v>
      </c>
      <c r="AY131" s="41">
        <f t="shared" si="76"/>
        <v>18651</v>
      </c>
      <c r="AZ131" s="41">
        <f aca="true" t="shared" si="153" ref="AZ131:BA135">(F131+K131+P131+V131+AB131+(AH131/0.212)+(AN131/0.55)+(AT131/0.635))</f>
        <v>9883</v>
      </c>
      <c r="BA131" s="41">
        <f t="shared" si="153"/>
        <v>10229</v>
      </c>
      <c r="BB131" s="237">
        <f>(R131+X131+AD131+(AJ131/0.212)+(AP131/0.55)+(AV131/0.635))</f>
        <v>11422</v>
      </c>
      <c r="BC131" s="41">
        <f aca="true" t="shared" si="154" ref="BC131:BC152">AW131*1000/0.45359237/$B131</f>
        <v>866731.6364754045</v>
      </c>
      <c r="BD131" s="41">
        <f aca="true" t="shared" si="155" ref="BD131:BD152">AX131*1000/0.45359237/$B131</f>
        <v>819594.7051796853</v>
      </c>
      <c r="BE131" s="41">
        <f aca="true" t="shared" si="156" ref="BE131:BH135">AY131*1000/0.45359237/$B131</f>
        <v>1958019.8342905485</v>
      </c>
      <c r="BF131" s="41">
        <f t="shared" si="156"/>
        <v>1037537.3986538785</v>
      </c>
      <c r="BG131" s="41">
        <f t="shared" si="156"/>
        <v>1073861.1808995774</v>
      </c>
      <c r="BH131" s="237">
        <f t="shared" si="156"/>
        <v>1199104.7422265103</v>
      </c>
      <c r="BI131" s="41">
        <v>213</v>
      </c>
      <c r="BJ131" s="41">
        <v>202</v>
      </c>
      <c r="BK131" s="41">
        <v>79</v>
      </c>
      <c r="BL131" s="401">
        <v>1378</v>
      </c>
      <c r="BM131" s="401">
        <v>1034</v>
      </c>
      <c r="BN131" s="240">
        <v>22</v>
      </c>
      <c r="BO131" s="206">
        <v>22</v>
      </c>
      <c r="BP131" s="205">
        <v>66</v>
      </c>
      <c r="BQ131" s="205">
        <v>13</v>
      </c>
      <c r="BR131" s="401">
        <v>5950</v>
      </c>
      <c r="BS131" s="400">
        <v>561</v>
      </c>
      <c r="BT131" s="240">
        <v>35</v>
      </c>
      <c r="BU131" s="206"/>
      <c r="BV131" s="206"/>
      <c r="BW131" s="206"/>
      <c r="BX131" s="206"/>
      <c r="BY131" s="206"/>
      <c r="BZ131" s="511"/>
      <c r="CA131" s="218"/>
      <c r="CB131" s="218"/>
      <c r="CC131" s="206"/>
      <c r="CD131" s="206"/>
      <c r="CE131" s="206"/>
      <c r="CF131" s="216"/>
      <c r="CG131" s="205"/>
      <c r="CH131" s="205"/>
      <c r="CI131" s="39"/>
      <c r="CJ131" s="218"/>
      <c r="CK131" s="218"/>
      <c r="CL131" s="275"/>
      <c r="CM131" s="210"/>
      <c r="CN131" s="210"/>
      <c r="CO131" s="39"/>
      <c r="CP131" s="206"/>
      <c r="CQ131" s="206"/>
      <c r="CR131" s="283"/>
      <c r="CS131" s="41">
        <f aca="true" t="shared" si="157" ref="CS131:CX135">(BI131+BO131+BU131+(CA131/0.212)+(CG131/0.55)+(CM131/0.635))</f>
        <v>235</v>
      </c>
      <c r="CT131" s="41">
        <f t="shared" si="157"/>
        <v>268</v>
      </c>
      <c r="CU131" s="41">
        <f t="shared" si="157"/>
        <v>92</v>
      </c>
      <c r="CV131" s="41">
        <f t="shared" si="157"/>
        <v>7328</v>
      </c>
      <c r="CW131" s="41">
        <f t="shared" si="157"/>
        <v>1595</v>
      </c>
      <c r="CX131" s="237">
        <f t="shared" si="157"/>
        <v>57</v>
      </c>
      <c r="CY131" s="41">
        <f t="shared" si="147"/>
        <v>24670.77695878392</v>
      </c>
      <c r="CZ131" s="41">
        <f>CT131*1000/0.45359237/$B131</f>
        <v>28135.183935974852</v>
      </c>
      <c r="DA131" s="41">
        <f aca="true" t="shared" si="158" ref="DA131:DD135">CU131*1000/0.45359237/$B131</f>
        <v>9658.346724289873</v>
      </c>
      <c r="DB131" s="41">
        <f t="shared" si="158"/>
        <v>769308.3129956109</v>
      </c>
      <c r="DC131" s="41">
        <f t="shared" si="158"/>
        <v>167446.33723089512</v>
      </c>
      <c r="DD131" s="237">
        <f t="shared" si="158"/>
        <v>5983.975687875248</v>
      </c>
      <c r="DE131" s="39">
        <f aca="true" t="shared" si="159" ref="DE131:DE153">AW131-CS131</f>
        <v>8021</v>
      </c>
      <c r="DF131" s="39">
        <f aca="true" t="shared" si="160" ref="DF131:DJ135">AX131-CT131</f>
        <v>7539</v>
      </c>
      <c r="DG131" s="39">
        <f t="shared" si="160"/>
        <v>18559</v>
      </c>
      <c r="DH131" s="39">
        <f t="shared" si="160"/>
        <v>2555</v>
      </c>
      <c r="DI131" s="39">
        <f t="shared" si="160"/>
        <v>8634</v>
      </c>
      <c r="DJ131" s="243">
        <f t="shared" si="160"/>
        <v>11365</v>
      </c>
      <c r="DK131" s="39">
        <f t="shared" si="149"/>
        <v>842060.8595166205</v>
      </c>
      <c r="DL131" s="39">
        <f aca="true" t="shared" si="161" ref="DL131:DP135">BD131-CZ131</f>
        <v>791459.5212437104</v>
      </c>
      <c r="DM131" s="39">
        <f t="shared" si="161"/>
        <v>1948361.4875662585</v>
      </c>
      <c r="DN131" s="39">
        <f t="shared" si="161"/>
        <v>268229.0856582676</v>
      </c>
      <c r="DO131" s="39">
        <f t="shared" si="161"/>
        <v>906414.8436686823</v>
      </c>
      <c r="DP131" s="243">
        <f t="shared" si="161"/>
        <v>1193120.7665386351</v>
      </c>
      <c r="DQ131" s="39">
        <f>DK131+Commerical!I131</f>
        <v>842060.8595166205</v>
      </c>
      <c r="DR131" s="39">
        <f>DL131+Commerical!J131</f>
        <v>791459.5212437104</v>
      </c>
      <c r="DS131" s="39">
        <f>DM131+Commerical!K131</f>
        <v>1948361.4875662585</v>
      </c>
      <c r="DT131" s="39">
        <f>DN131+Commerical!L131</f>
        <v>268229.0856582676</v>
      </c>
      <c r="DU131" s="39">
        <f>DO131+Commerical!M131</f>
        <v>906414.8436686823</v>
      </c>
      <c r="DV131" s="243">
        <f>DP131+Commerical!N131</f>
        <v>1193120.7665386351</v>
      </c>
      <c r="DW131" s="39"/>
      <c r="DX131" s="39"/>
      <c r="DY131" s="16"/>
      <c r="DZ131" s="38"/>
      <c r="EA131" s="546"/>
      <c r="EB131" s="16"/>
      <c r="EC131" s="16"/>
      <c r="ED131" s="38"/>
    </row>
    <row r="132" spans="1:134" ht="12.75">
      <c r="A132" s="88" t="s">
        <v>473</v>
      </c>
      <c r="B132" s="29">
        <f>Commerical!B132</f>
        <v>10.770904068333332</v>
      </c>
      <c r="C132" s="41">
        <v>4291</v>
      </c>
      <c r="D132" s="397">
        <v>2858</v>
      </c>
      <c r="E132" s="397">
        <v>2584</v>
      </c>
      <c r="F132" s="397">
        <v>1777</v>
      </c>
      <c r="G132" s="495">
        <v>1917</v>
      </c>
      <c r="H132" s="401"/>
      <c r="I132" s="205"/>
      <c r="J132" s="205"/>
      <c r="K132" s="205"/>
      <c r="L132" s="618"/>
      <c r="M132" s="626"/>
      <c r="N132" s="205"/>
      <c r="O132" s="205"/>
      <c r="P132" s="205"/>
      <c r="Q132" s="205"/>
      <c r="R132" s="271">
        <v>1990</v>
      </c>
      <c r="S132" s="205">
        <v>2522</v>
      </c>
      <c r="T132" s="205">
        <v>4552</v>
      </c>
      <c r="U132" s="205">
        <v>2866</v>
      </c>
      <c r="V132" s="397">
        <v>2388</v>
      </c>
      <c r="W132" s="397">
        <v>3380</v>
      </c>
      <c r="X132" s="216">
        <v>2645</v>
      </c>
      <c r="Y132" s="205"/>
      <c r="Z132" s="205"/>
      <c r="AA132" s="205"/>
      <c r="AB132" s="205"/>
      <c r="AC132" s="38"/>
      <c r="AD132" s="41"/>
      <c r="AE132" s="616"/>
      <c r="AF132" s="205"/>
      <c r="AG132" s="205"/>
      <c r="AH132" s="205"/>
      <c r="AI132" s="205"/>
      <c r="AJ132" s="216"/>
      <c r="AK132" s="205"/>
      <c r="AL132" s="205"/>
      <c r="AM132" s="41"/>
      <c r="AN132" s="41"/>
      <c r="AO132" s="41"/>
      <c r="AP132" s="498"/>
      <c r="AQ132" s="39"/>
      <c r="AR132" s="39"/>
      <c r="AS132" s="205"/>
      <c r="AT132" s="205"/>
      <c r="AU132" s="205"/>
      <c r="AV132" s="235"/>
      <c r="AW132" s="41">
        <f>(C132+H132+M132+S132+Y132+(AE132/0.212)+(AK132/0.55)+(AQ132/0.635))</f>
        <v>6813</v>
      </c>
      <c r="AX132" s="41">
        <f t="shared" si="75"/>
        <v>7410</v>
      </c>
      <c r="AY132" s="41">
        <f t="shared" si="76"/>
        <v>5450</v>
      </c>
      <c r="AZ132" s="41">
        <f t="shared" si="153"/>
        <v>4165</v>
      </c>
      <c r="BA132" s="41">
        <f t="shared" si="153"/>
        <v>5297</v>
      </c>
      <c r="BB132" s="237">
        <f>(R132+X132+AD132+(AJ132/0.212)+(AP132/0.55)+(AV132/0.635))</f>
        <v>4635</v>
      </c>
      <c r="BC132" s="41">
        <f t="shared" si="154"/>
        <v>1394506.331814344</v>
      </c>
      <c r="BD132" s="41">
        <f t="shared" si="155"/>
        <v>1516702.1750688816</v>
      </c>
      <c r="BE132" s="41">
        <f t="shared" si="156"/>
        <v>1115523.1921896632</v>
      </c>
      <c r="BF132" s="41">
        <f t="shared" si="156"/>
        <v>852505.3386183389</v>
      </c>
      <c r="BG132" s="41">
        <f t="shared" si="156"/>
        <v>1084206.6695465404</v>
      </c>
      <c r="BH132" s="237">
        <f t="shared" si="156"/>
        <v>948706.4212475392</v>
      </c>
      <c r="BI132" s="41">
        <v>223</v>
      </c>
      <c r="BJ132" s="41">
        <v>298</v>
      </c>
      <c r="BK132" s="41">
        <v>438</v>
      </c>
      <c r="BL132" s="286">
        <v>498</v>
      </c>
      <c r="BM132" s="41"/>
      <c r="BN132" s="216">
        <v>395</v>
      </c>
      <c r="BO132" s="205"/>
      <c r="BP132" s="205"/>
      <c r="BQ132" s="205"/>
      <c r="BR132" s="205"/>
      <c r="BS132" s="205"/>
      <c r="BT132" s="216"/>
      <c r="BU132" s="205"/>
      <c r="BV132" s="205"/>
      <c r="BW132" s="205"/>
      <c r="BX132" s="205"/>
      <c r="BY132" s="205"/>
      <c r="BZ132" s="235"/>
      <c r="CA132" s="41"/>
      <c r="CB132" s="41"/>
      <c r="CC132" s="205"/>
      <c r="CD132" s="205"/>
      <c r="CE132" s="205"/>
      <c r="CF132" s="216"/>
      <c r="CG132" s="205"/>
      <c r="CH132" s="205"/>
      <c r="CI132" s="39"/>
      <c r="CJ132" s="41"/>
      <c r="CK132" s="41"/>
      <c r="CL132" s="498"/>
      <c r="CM132" s="39"/>
      <c r="CN132" s="39"/>
      <c r="CO132" s="39"/>
      <c r="CP132" s="205"/>
      <c r="CQ132" s="205"/>
      <c r="CR132" s="282"/>
      <c r="CS132" s="41">
        <f t="shared" si="157"/>
        <v>223</v>
      </c>
      <c r="CT132" s="41">
        <f t="shared" si="157"/>
        <v>298</v>
      </c>
      <c r="CU132" s="41">
        <f t="shared" si="157"/>
        <v>438</v>
      </c>
      <c r="CV132" s="41">
        <f t="shared" si="157"/>
        <v>498</v>
      </c>
      <c r="CW132" s="41">
        <f t="shared" si="157"/>
        <v>0</v>
      </c>
      <c r="CX132" s="237">
        <f t="shared" si="157"/>
        <v>395</v>
      </c>
      <c r="CY132" s="41">
        <f t="shared" si="147"/>
        <v>45644.34346023759</v>
      </c>
      <c r="CZ132" s="41">
        <f>CT132*1000/0.45359237/$B132</f>
        <v>60995.5800500036</v>
      </c>
      <c r="DA132" s="41">
        <f t="shared" si="158"/>
        <v>89651.22168423347</v>
      </c>
      <c r="DB132" s="41">
        <f t="shared" si="158"/>
        <v>101932.21095604628</v>
      </c>
      <c r="DC132" s="41">
        <f t="shared" si="158"/>
        <v>0</v>
      </c>
      <c r="DD132" s="237">
        <f t="shared" si="158"/>
        <v>80849.8460394343</v>
      </c>
      <c r="DE132" s="39">
        <f t="shared" si="159"/>
        <v>6590</v>
      </c>
      <c r="DF132" s="39">
        <f t="shared" si="160"/>
        <v>7112</v>
      </c>
      <c r="DG132" s="39">
        <f t="shared" si="160"/>
        <v>5012</v>
      </c>
      <c r="DH132" s="39">
        <f t="shared" si="160"/>
        <v>3667</v>
      </c>
      <c r="DI132" s="39">
        <f t="shared" si="160"/>
        <v>5297</v>
      </c>
      <c r="DJ132" s="243">
        <f t="shared" si="160"/>
        <v>4240</v>
      </c>
      <c r="DK132" s="39">
        <f t="shared" si="149"/>
        <v>1348861.9883541064</v>
      </c>
      <c r="DL132" s="39">
        <f t="shared" si="161"/>
        <v>1455706.595018878</v>
      </c>
      <c r="DM132" s="39">
        <f t="shared" si="161"/>
        <v>1025871.9705054297</v>
      </c>
      <c r="DN132" s="39">
        <f t="shared" si="161"/>
        <v>750573.1276622927</v>
      </c>
      <c r="DO132" s="39">
        <f t="shared" si="161"/>
        <v>1084206.6695465404</v>
      </c>
      <c r="DP132" s="243">
        <f t="shared" si="161"/>
        <v>867856.5752081049</v>
      </c>
      <c r="DQ132" s="39">
        <f>DK132+Commerical!I132</f>
        <v>1388598.671299629</v>
      </c>
      <c r="DR132" s="39">
        <f>DL132+Commerical!J132</f>
        <v>1494143.4799241265</v>
      </c>
      <c r="DS132" s="39">
        <f>DM132+Commerical!K132</f>
        <v>1062173.472915942</v>
      </c>
      <c r="DT132" s="39">
        <f>DN132+Commerical!L132</f>
        <v>793652.1484256629</v>
      </c>
      <c r="DU132" s="39">
        <f>DO132+Commerical!M132</f>
        <v>1128771.1737845095</v>
      </c>
      <c r="DV132" s="243">
        <f>DP132+Commerical!N132</f>
        <v>904250.9203357797</v>
      </c>
      <c r="DW132" s="39"/>
      <c r="DX132" s="39"/>
      <c r="DY132" s="38"/>
      <c r="DZ132" s="38"/>
      <c r="EA132" s="546"/>
      <c r="EB132" s="38"/>
      <c r="EC132" s="38"/>
      <c r="ED132" s="38"/>
    </row>
    <row r="133" spans="1:134" ht="12.75">
      <c r="A133" s="88" t="s">
        <v>138</v>
      </c>
      <c r="B133" s="29">
        <f>Commerical!B133</f>
        <v>24.18560219731</v>
      </c>
      <c r="C133" s="41">
        <v>30292</v>
      </c>
      <c r="D133" s="397">
        <v>52034</v>
      </c>
      <c r="E133" s="397">
        <v>39112</v>
      </c>
      <c r="F133" s="397">
        <v>50287</v>
      </c>
      <c r="G133" s="495">
        <v>46606</v>
      </c>
      <c r="H133" s="401"/>
      <c r="I133" s="205"/>
      <c r="J133" s="205"/>
      <c r="K133" s="205"/>
      <c r="L133" s="502"/>
      <c r="M133" s="628"/>
      <c r="N133" s="205"/>
      <c r="O133" s="205"/>
      <c r="P133" s="205"/>
      <c r="Q133" s="205"/>
      <c r="R133" s="271">
        <v>55978</v>
      </c>
      <c r="S133" s="205"/>
      <c r="T133" s="205"/>
      <c r="U133" s="205"/>
      <c r="V133" s="205"/>
      <c r="W133" s="205"/>
      <c r="X133" s="216"/>
      <c r="Y133" s="205">
        <v>25554</v>
      </c>
      <c r="Z133" s="205">
        <v>27611</v>
      </c>
      <c r="AA133" s="205">
        <v>22676</v>
      </c>
      <c r="AB133" s="397">
        <v>24296</v>
      </c>
      <c r="AC133" s="397">
        <v>26806</v>
      </c>
      <c r="AD133" s="41">
        <v>24754</v>
      </c>
      <c r="AE133" s="616"/>
      <c r="AF133" s="205"/>
      <c r="AG133" s="205"/>
      <c r="AH133" s="205"/>
      <c r="AI133" s="205"/>
      <c r="AJ133" s="216"/>
      <c r="AK133" s="205"/>
      <c r="AL133" s="205"/>
      <c r="AM133" s="41"/>
      <c r="AN133" s="41"/>
      <c r="AO133" s="41"/>
      <c r="AP133" s="498"/>
      <c r="AQ133" s="39"/>
      <c r="AR133" s="39"/>
      <c r="AS133" s="205"/>
      <c r="AT133" s="205"/>
      <c r="AU133" s="205"/>
      <c r="AV133" s="235"/>
      <c r="AW133" s="41">
        <f>(C133+H133+M133+S133+Y133+(AE133/0.212)+(AK133/0.55)+(AQ133/0.635))</f>
        <v>55846</v>
      </c>
      <c r="AX133" s="41">
        <f aca="true" t="shared" si="162" ref="AX133:AX149">(D133+I133+N133+T133+Z133+(AF133/0.212)+(AL133/0.55)+(AR133/0.635))</f>
        <v>79645</v>
      </c>
      <c r="AY133" s="41">
        <f aca="true" t="shared" si="163" ref="AY133:AY149">(E133+J133+O133+U133+AA133+(AG133/0.212)+(AM133/0.55)+(AS133/0.635))</f>
        <v>61788</v>
      </c>
      <c r="AZ133" s="41">
        <f t="shared" si="153"/>
        <v>74583</v>
      </c>
      <c r="BA133" s="41">
        <f t="shared" si="153"/>
        <v>73412</v>
      </c>
      <c r="BB133" s="237">
        <f>(R133+X133+AD133+(AJ133/0.212)+(AP133/0.55)+(AV133/0.635))</f>
        <v>80732</v>
      </c>
      <c r="BC133" s="41">
        <f t="shared" si="154"/>
        <v>5090605.308701408</v>
      </c>
      <c r="BD133" s="41">
        <f t="shared" si="155"/>
        <v>7259987.462155278</v>
      </c>
      <c r="BE133" s="41">
        <f t="shared" si="156"/>
        <v>5632244.400924732</v>
      </c>
      <c r="BF133" s="41">
        <f t="shared" si="156"/>
        <v>6798564.189715954</v>
      </c>
      <c r="BG133" s="41">
        <f t="shared" si="156"/>
        <v>6691822.456798836</v>
      </c>
      <c r="BH133" s="237">
        <f t="shared" si="156"/>
        <v>7359072.23045665</v>
      </c>
      <c r="BI133" s="41">
        <v>10205</v>
      </c>
      <c r="BJ133" s="41">
        <v>9798</v>
      </c>
      <c r="BK133" s="41">
        <v>9510</v>
      </c>
      <c r="BL133" s="401">
        <v>8955</v>
      </c>
      <c r="BM133" s="401">
        <v>12006</v>
      </c>
      <c r="BN133" s="216">
        <v>9187</v>
      </c>
      <c r="BO133" s="205"/>
      <c r="BP133" s="205"/>
      <c r="BQ133" s="205"/>
      <c r="BR133" s="205"/>
      <c r="BS133" s="205"/>
      <c r="BT133" s="216"/>
      <c r="BU133" s="205"/>
      <c r="BV133" s="205"/>
      <c r="BW133" s="205"/>
      <c r="BX133" s="205"/>
      <c r="BY133" s="205"/>
      <c r="BZ133" s="235"/>
      <c r="CA133" s="41"/>
      <c r="CB133" s="41"/>
      <c r="CC133" s="205"/>
      <c r="CD133" s="205"/>
      <c r="CE133" s="205"/>
      <c r="CF133" s="216"/>
      <c r="CG133" s="205"/>
      <c r="CH133" s="205"/>
      <c r="CI133" s="39"/>
      <c r="CJ133" s="41"/>
      <c r="CK133" s="41"/>
      <c r="CL133" s="498"/>
      <c r="CM133" s="39"/>
      <c r="CN133" s="39"/>
      <c r="CO133" s="39"/>
      <c r="CP133" s="205"/>
      <c r="CQ133" s="205"/>
      <c r="CR133" s="282"/>
      <c r="CS133" s="41">
        <f t="shared" si="157"/>
        <v>10205</v>
      </c>
      <c r="CT133" s="41">
        <f t="shared" si="157"/>
        <v>9798</v>
      </c>
      <c r="CU133" s="41">
        <f t="shared" si="157"/>
        <v>9510</v>
      </c>
      <c r="CV133" s="41">
        <f t="shared" si="157"/>
        <v>8955</v>
      </c>
      <c r="CW133" s="41">
        <f t="shared" si="157"/>
        <v>12006</v>
      </c>
      <c r="CX133" s="237">
        <f t="shared" si="157"/>
        <v>9187</v>
      </c>
      <c r="CY133" s="41">
        <f t="shared" si="147"/>
        <v>930230.0464724038</v>
      </c>
      <c r="CZ133" s="41">
        <f>CT133*1000/0.45359237/$B133</f>
        <v>893130.2298223042</v>
      </c>
      <c r="DA133" s="41">
        <f t="shared" si="158"/>
        <v>866877.779711177</v>
      </c>
      <c r="DB133" s="41">
        <f t="shared" si="158"/>
        <v>816287.1206428591</v>
      </c>
      <c r="DC133" s="41">
        <f t="shared" si="158"/>
        <v>1094399.0140076121</v>
      </c>
      <c r="DD133" s="237">
        <f t="shared" si="158"/>
        <v>837434.9276768226</v>
      </c>
      <c r="DE133" s="39">
        <f t="shared" si="159"/>
        <v>45641</v>
      </c>
      <c r="DF133" s="39">
        <f t="shared" si="160"/>
        <v>69847</v>
      </c>
      <c r="DG133" s="39">
        <f t="shared" si="160"/>
        <v>52278</v>
      </c>
      <c r="DH133" s="39">
        <f t="shared" si="160"/>
        <v>65628</v>
      </c>
      <c r="DI133" s="39">
        <f t="shared" si="160"/>
        <v>61406</v>
      </c>
      <c r="DJ133" s="243">
        <f t="shared" si="160"/>
        <v>71545</v>
      </c>
      <c r="DK133" s="39">
        <f t="shared" si="149"/>
        <v>4160375.2622290044</v>
      </c>
      <c r="DL133" s="39">
        <f t="shared" si="161"/>
        <v>6366857.232332974</v>
      </c>
      <c r="DM133" s="39">
        <f t="shared" si="161"/>
        <v>4765366.621213555</v>
      </c>
      <c r="DN133" s="39">
        <f t="shared" si="161"/>
        <v>5982277.069073094</v>
      </c>
      <c r="DO133" s="39">
        <f t="shared" si="161"/>
        <v>5597423.4427912235</v>
      </c>
      <c r="DP133" s="243">
        <f t="shared" si="161"/>
        <v>6521637.302779827</v>
      </c>
      <c r="DQ133" s="39">
        <f>DK133+Commerical!I133</f>
        <v>5248956.798682469</v>
      </c>
      <c r="DR133" s="39">
        <f>DL133+Commerical!J133</f>
        <v>7468214.965032416</v>
      </c>
      <c r="DS133" s="39">
        <f>DM133+Commerical!K133</f>
        <v>5917911.832723746</v>
      </c>
      <c r="DT133" s="39">
        <f>DN133+Commerical!L133</f>
        <v>7033687.730364311</v>
      </c>
      <c r="DU133" s="39">
        <f>DO133+Commerical!M133</f>
        <v>6690801.221201107</v>
      </c>
      <c r="DV133" s="243">
        <f>DP133+Commerical!N133</f>
        <v>7719085.262261322</v>
      </c>
      <c r="DW133" s="138"/>
      <c r="DX133" s="39"/>
      <c r="DY133" s="38"/>
      <c r="DZ133" s="38"/>
      <c r="EA133" s="546"/>
      <c r="EB133" s="38"/>
      <c r="EC133" s="38"/>
      <c r="ED133" s="488"/>
    </row>
    <row r="134" spans="1:134" ht="12.75">
      <c r="A134" s="88" t="s">
        <v>274</v>
      </c>
      <c r="B134" s="29">
        <f>Commerical!B134</f>
        <v>38.58089585</v>
      </c>
      <c r="C134" s="41">
        <v>3964</v>
      </c>
      <c r="D134" s="397">
        <v>5357</v>
      </c>
      <c r="E134" s="397">
        <v>7479</v>
      </c>
      <c r="F134" s="397">
        <v>11806</v>
      </c>
      <c r="G134" s="495">
        <v>7998</v>
      </c>
      <c r="H134" s="401"/>
      <c r="I134" s="205"/>
      <c r="J134" s="205"/>
      <c r="K134" s="205"/>
      <c r="L134" s="502"/>
      <c r="M134" s="628"/>
      <c r="N134" s="205"/>
      <c r="O134" s="205"/>
      <c r="P134" s="205"/>
      <c r="Q134" s="205"/>
      <c r="R134" s="271">
        <v>7909</v>
      </c>
      <c r="S134" s="205"/>
      <c r="T134" s="205"/>
      <c r="U134" s="205"/>
      <c r="V134" s="205"/>
      <c r="W134" s="205"/>
      <c r="X134" s="216"/>
      <c r="Y134" s="205"/>
      <c r="Z134" s="205"/>
      <c r="AA134" s="205"/>
      <c r="AB134" s="205"/>
      <c r="AC134" s="38"/>
      <c r="AD134" s="41"/>
      <c r="AE134" s="616"/>
      <c r="AF134" s="205"/>
      <c r="AG134" s="205"/>
      <c r="AH134" s="205"/>
      <c r="AI134" s="205"/>
      <c r="AJ134" s="216"/>
      <c r="AK134" s="205"/>
      <c r="AL134" s="205"/>
      <c r="AM134" s="41"/>
      <c r="AN134" s="41"/>
      <c r="AO134" s="41"/>
      <c r="AP134" s="498"/>
      <c r="AQ134" s="39"/>
      <c r="AR134" s="39"/>
      <c r="AS134" s="205"/>
      <c r="AT134" s="205"/>
      <c r="AU134" s="205"/>
      <c r="AV134" s="235"/>
      <c r="AW134" s="41">
        <f>(C134+H134+M134+S134+Y134+(AE134/0.212)+(AK134/0.55)+(AQ134/0.635))</f>
        <v>3964</v>
      </c>
      <c r="AX134" s="41">
        <f t="shared" si="162"/>
        <v>5357</v>
      </c>
      <c r="AY134" s="41">
        <f t="shared" si="163"/>
        <v>7479</v>
      </c>
      <c r="AZ134" s="41">
        <f t="shared" si="153"/>
        <v>11806</v>
      </c>
      <c r="BA134" s="41">
        <f t="shared" si="153"/>
        <v>7998</v>
      </c>
      <c r="BB134" s="237">
        <f>(R134+X134+AD134+(AJ134/0.212)+(AP134/0.55)+(AV134/0.635))</f>
        <v>7909</v>
      </c>
      <c r="BC134" s="41">
        <f t="shared" si="154"/>
        <v>226514.28590423847</v>
      </c>
      <c r="BD134" s="41">
        <f t="shared" si="155"/>
        <v>306114.28597099026</v>
      </c>
      <c r="BE134" s="41">
        <f t="shared" si="156"/>
        <v>427371.42892981827</v>
      </c>
      <c r="BF134" s="41">
        <f t="shared" si="156"/>
        <v>674628.5719943086</v>
      </c>
      <c r="BG134" s="41">
        <f t="shared" si="156"/>
        <v>457028.5718118313</v>
      </c>
      <c r="BH134" s="237">
        <f t="shared" si="156"/>
        <v>451942.8575218522</v>
      </c>
      <c r="BI134" s="41">
        <v>240</v>
      </c>
      <c r="BJ134" s="41">
        <v>179</v>
      </c>
      <c r="BK134" s="41">
        <v>199</v>
      </c>
      <c r="BL134" s="400">
        <v>462</v>
      </c>
      <c r="BM134" s="400">
        <v>193</v>
      </c>
      <c r="BN134" s="216">
        <v>299</v>
      </c>
      <c r="BO134" s="205"/>
      <c r="BP134" s="205"/>
      <c r="BQ134" s="205"/>
      <c r="BR134" s="205"/>
      <c r="BS134" s="205"/>
      <c r="BT134" s="216"/>
      <c r="BU134" s="205"/>
      <c r="BV134" s="205"/>
      <c r="BW134" s="205"/>
      <c r="BX134" s="205"/>
      <c r="BY134" s="205"/>
      <c r="BZ134" s="235"/>
      <c r="CA134" s="41"/>
      <c r="CB134" s="41"/>
      <c r="CC134" s="205"/>
      <c r="CD134" s="205"/>
      <c r="CE134" s="205"/>
      <c r="CF134" s="216"/>
      <c r="CG134" s="205"/>
      <c r="CH134" s="205"/>
      <c r="CI134" s="39"/>
      <c r="CJ134" s="41"/>
      <c r="CK134" s="41"/>
      <c r="CL134" s="498"/>
      <c r="CM134" s="39"/>
      <c r="CN134" s="39"/>
      <c r="CO134" s="39"/>
      <c r="CP134" s="205"/>
      <c r="CQ134" s="205"/>
      <c r="CR134" s="282"/>
      <c r="CS134" s="41">
        <f t="shared" si="157"/>
        <v>240</v>
      </c>
      <c r="CT134" s="41">
        <f t="shared" si="157"/>
        <v>179</v>
      </c>
      <c r="CU134" s="41">
        <f t="shared" si="157"/>
        <v>199</v>
      </c>
      <c r="CV134" s="41">
        <f t="shared" si="157"/>
        <v>462</v>
      </c>
      <c r="CW134" s="41">
        <f t="shared" si="157"/>
        <v>193</v>
      </c>
      <c r="CX134" s="237">
        <f t="shared" si="157"/>
        <v>299</v>
      </c>
      <c r="CY134" s="41">
        <f t="shared" si="147"/>
        <v>13714.285725786385</v>
      </c>
      <c r="CZ134" s="41">
        <f>CT134*1000/0.45359237/$B134</f>
        <v>10228.571437149012</v>
      </c>
      <c r="DA134" s="41">
        <f t="shared" si="158"/>
        <v>11371.428580964544</v>
      </c>
      <c r="DB134" s="41">
        <f t="shared" si="158"/>
        <v>26400.000022138793</v>
      </c>
      <c r="DC134" s="41">
        <f t="shared" si="158"/>
        <v>11028.571437819885</v>
      </c>
      <c r="DD134" s="237">
        <f t="shared" si="158"/>
        <v>17085.714300042204</v>
      </c>
      <c r="DE134" s="39">
        <f t="shared" si="159"/>
        <v>3724</v>
      </c>
      <c r="DF134" s="39">
        <f t="shared" si="160"/>
        <v>5178</v>
      </c>
      <c r="DG134" s="39">
        <f t="shared" si="160"/>
        <v>7280</v>
      </c>
      <c r="DH134" s="39">
        <f t="shared" si="160"/>
        <v>11344</v>
      </c>
      <c r="DI134" s="39">
        <f t="shared" si="160"/>
        <v>7805</v>
      </c>
      <c r="DJ134" s="243">
        <f t="shared" si="160"/>
        <v>7610</v>
      </c>
      <c r="DK134" s="39">
        <f t="shared" si="149"/>
        <v>212800.0001784521</v>
      </c>
      <c r="DL134" s="39">
        <f t="shared" si="161"/>
        <v>295885.71453384124</v>
      </c>
      <c r="DM134" s="39">
        <f t="shared" si="161"/>
        <v>416000.0003488537</v>
      </c>
      <c r="DN134" s="39">
        <f t="shared" si="161"/>
        <v>648228.5719721698</v>
      </c>
      <c r="DO134" s="39">
        <f t="shared" si="161"/>
        <v>446000.00037401146</v>
      </c>
      <c r="DP134" s="243">
        <f t="shared" si="161"/>
        <v>434857.14322181</v>
      </c>
      <c r="DQ134" s="39">
        <f>DK134+Commerical!I134</f>
        <v>572096.9966477551</v>
      </c>
      <c r="DR134" s="39">
        <f>DL134+Commerical!J134</f>
        <v>650180.2351469493</v>
      </c>
      <c r="DS134" s="39">
        <f>DM134+Commerical!K134</f>
        <v>716252.2299766424</v>
      </c>
      <c r="DT134" s="39">
        <f>DN134+Commerical!L134</f>
        <v>1017297.2440776674</v>
      </c>
      <c r="DU134" s="39">
        <f>DO134+Commerical!M134</f>
        <v>800372.2796791848</v>
      </c>
      <c r="DV134" s="243">
        <f>DP134+Commerical!N134</f>
        <v>1030229.5288010837</v>
      </c>
      <c r="DW134" s="138"/>
      <c r="DX134" s="39"/>
      <c r="DY134" s="38"/>
      <c r="DZ134" s="38"/>
      <c r="EA134" s="546"/>
      <c r="EB134" s="38"/>
      <c r="EC134" s="38"/>
      <c r="ED134" s="38"/>
    </row>
    <row r="135" spans="1:134" ht="12.75">
      <c r="A135" s="88" t="s">
        <v>275</v>
      </c>
      <c r="B135" s="29">
        <f>Commerical!B135</f>
        <v>265.84182153333336</v>
      </c>
      <c r="C135" s="41">
        <v>592</v>
      </c>
      <c r="D135" s="397">
        <v>659</v>
      </c>
      <c r="E135" s="398">
        <v>610</v>
      </c>
      <c r="F135" s="398">
        <v>646</v>
      </c>
      <c r="G135" s="495">
        <v>1422</v>
      </c>
      <c r="H135" s="401"/>
      <c r="I135" s="205"/>
      <c r="J135" s="205"/>
      <c r="K135" s="205"/>
      <c r="L135" s="618"/>
      <c r="M135" s="626"/>
      <c r="N135" s="205"/>
      <c r="O135" s="205"/>
      <c r="P135" s="205"/>
      <c r="Q135" s="205"/>
      <c r="R135" s="271">
        <v>1309</v>
      </c>
      <c r="S135" s="205"/>
      <c r="T135" s="205"/>
      <c r="U135" s="205"/>
      <c r="V135" s="205"/>
      <c r="W135" s="205"/>
      <c r="X135" s="216"/>
      <c r="Y135" s="205"/>
      <c r="Z135" s="205"/>
      <c r="AA135" s="205"/>
      <c r="AB135" s="38"/>
      <c r="AC135" s="38"/>
      <c r="AD135" s="41"/>
      <c r="AE135" s="616"/>
      <c r="AF135" s="205"/>
      <c r="AG135" s="205"/>
      <c r="AH135" s="205"/>
      <c r="AI135" s="205"/>
      <c r="AJ135" s="216"/>
      <c r="AK135" s="205"/>
      <c r="AL135" s="205"/>
      <c r="AM135" s="41"/>
      <c r="AN135" s="41"/>
      <c r="AO135" s="41"/>
      <c r="AP135" s="498"/>
      <c r="AQ135" s="39"/>
      <c r="AR135" s="39"/>
      <c r="AS135" s="205"/>
      <c r="AT135" s="205"/>
      <c r="AU135" s="205"/>
      <c r="AV135" s="235"/>
      <c r="AW135" s="41">
        <f>(C135+H135+M135+S135+Y135+(AE135/0.212)+(AK135/0.55)+(AQ135/0.635))</f>
        <v>592</v>
      </c>
      <c r="AX135" s="41">
        <f t="shared" si="162"/>
        <v>659</v>
      </c>
      <c r="AY135" s="41">
        <f t="shared" si="163"/>
        <v>610</v>
      </c>
      <c r="AZ135" s="41">
        <f t="shared" si="153"/>
        <v>646</v>
      </c>
      <c r="BA135" s="41">
        <f t="shared" si="153"/>
        <v>1422</v>
      </c>
      <c r="BB135" s="237">
        <f>(R135+X135+AD135+(AJ135/0.212)+(AP135/0.55)+(AV135/0.635))</f>
        <v>1309</v>
      </c>
      <c r="BC135" s="41">
        <f t="shared" si="154"/>
        <v>4909.4479740119705</v>
      </c>
      <c r="BD135" s="41">
        <f t="shared" si="155"/>
        <v>5465.078065665352</v>
      </c>
      <c r="BE135" s="41">
        <f t="shared" si="156"/>
        <v>5058.721729978551</v>
      </c>
      <c r="BF135" s="41">
        <f t="shared" si="156"/>
        <v>5357.26924191171</v>
      </c>
      <c r="BG135" s="41">
        <f t="shared" si="156"/>
        <v>11792.626721359835</v>
      </c>
      <c r="BH135" s="237">
        <f t="shared" si="156"/>
        <v>10855.519253347415</v>
      </c>
      <c r="BI135" s="41">
        <v>293</v>
      </c>
      <c r="BJ135" s="41">
        <v>351</v>
      </c>
      <c r="BK135" s="41">
        <v>319</v>
      </c>
      <c r="BL135" s="400">
        <v>197</v>
      </c>
      <c r="BM135" s="400">
        <v>258</v>
      </c>
      <c r="BN135" s="216">
        <v>286</v>
      </c>
      <c r="BO135" s="205"/>
      <c r="BR135" s="205"/>
      <c r="BS135" s="205"/>
      <c r="BT135" s="216"/>
      <c r="BU135" s="205"/>
      <c r="BV135" s="205"/>
      <c r="BW135" s="205"/>
      <c r="BX135" s="38"/>
      <c r="BY135" s="38"/>
      <c r="BZ135" s="235"/>
      <c r="CA135" s="41"/>
      <c r="CB135" s="41"/>
      <c r="CC135" s="205"/>
      <c r="CD135" s="205"/>
      <c r="CE135" s="205"/>
      <c r="CF135" s="216"/>
      <c r="CG135" s="205"/>
      <c r="CH135" s="205"/>
      <c r="CI135" s="39"/>
      <c r="CJ135" s="41"/>
      <c r="CK135" s="41"/>
      <c r="CL135" s="498"/>
      <c r="CM135" s="39"/>
      <c r="CN135" s="39"/>
      <c r="CO135" s="39"/>
      <c r="CP135" s="205"/>
      <c r="CQ135" s="205"/>
      <c r="CR135" s="282"/>
      <c r="CS135" s="41">
        <f t="shared" si="157"/>
        <v>293</v>
      </c>
      <c r="CT135" s="41">
        <f t="shared" si="157"/>
        <v>351</v>
      </c>
      <c r="CU135" s="41">
        <f t="shared" si="157"/>
        <v>319</v>
      </c>
      <c r="CV135" s="41">
        <f t="shared" si="157"/>
        <v>197</v>
      </c>
      <c r="CW135" s="41">
        <f t="shared" si="157"/>
        <v>258</v>
      </c>
      <c r="CX135" s="237">
        <f t="shared" si="157"/>
        <v>286</v>
      </c>
      <c r="CY135" s="41">
        <f t="shared" si="147"/>
        <v>2429.8450276782214</v>
      </c>
      <c r="CZ135" s="41">
        <f>CT135*1000/0.45359237/$B135</f>
        <v>2910.838241348313</v>
      </c>
      <c r="DA135" s="41">
        <f t="shared" si="158"/>
        <v>2645.462675185504</v>
      </c>
      <c r="DB135" s="41">
        <f t="shared" si="158"/>
        <v>1633.718329189794</v>
      </c>
      <c r="DC135" s="41">
        <f t="shared" si="158"/>
        <v>2139.5905021876492</v>
      </c>
      <c r="DD135" s="237">
        <f t="shared" si="158"/>
        <v>2371.7941225801073</v>
      </c>
      <c r="DE135" s="39">
        <f t="shared" si="159"/>
        <v>299</v>
      </c>
      <c r="DF135" s="39">
        <f t="shared" si="160"/>
        <v>308</v>
      </c>
      <c r="DG135" s="39">
        <f t="shared" si="160"/>
        <v>291</v>
      </c>
      <c r="DH135" s="39">
        <f t="shared" si="160"/>
        <v>449</v>
      </c>
      <c r="DI135" s="39">
        <f t="shared" si="160"/>
        <v>1164</v>
      </c>
      <c r="DJ135" s="243">
        <f t="shared" si="160"/>
        <v>1023</v>
      </c>
      <c r="DK135" s="39">
        <f t="shared" si="149"/>
        <v>2479.602946333749</v>
      </c>
      <c r="DL135" s="39">
        <f t="shared" si="161"/>
        <v>2554.239824317039</v>
      </c>
      <c r="DM135" s="39">
        <f t="shared" si="161"/>
        <v>2413.2590547930467</v>
      </c>
      <c r="DN135" s="39">
        <f t="shared" si="161"/>
        <v>3723.550912721916</v>
      </c>
      <c r="DO135" s="39">
        <f t="shared" si="161"/>
        <v>9653.036219172185</v>
      </c>
      <c r="DP135" s="243">
        <f t="shared" si="161"/>
        <v>8483.725130767307</v>
      </c>
      <c r="DQ135" s="39">
        <f>DK135+Commerical!I135</f>
        <v>12831.623497979466</v>
      </c>
      <c r="DR135" s="39">
        <f>DL135+Commerical!J135</f>
        <v>7752.819912389125</v>
      </c>
      <c r="DS135" s="39">
        <f>DM135+Commerical!K135</f>
        <v>9699.546775918683</v>
      </c>
      <c r="DT135" s="39">
        <f>DN135+Commerical!L135</f>
        <v>6454.498194878453</v>
      </c>
      <c r="DU135" s="39">
        <f>DO135+Commerical!M135</f>
        <v>12056.721223714922</v>
      </c>
      <c r="DV135" s="243">
        <f>DP135+Commerical!N135</f>
        <v>10609.049117569572</v>
      </c>
      <c r="DW135" s="138"/>
      <c r="DX135" s="39"/>
      <c r="DY135" s="38"/>
      <c r="DZ135" s="38"/>
      <c r="EA135" s="546"/>
      <c r="EB135" s="38"/>
      <c r="EC135" s="38"/>
      <c r="ED135" s="38"/>
    </row>
    <row r="136" spans="1:134" ht="12.75">
      <c r="A136" s="88" t="s">
        <v>276</v>
      </c>
      <c r="B136" s="29">
        <f>Commerical!B136</f>
        <v>8.239879462047</v>
      </c>
      <c r="C136" s="41"/>
      <c r="E136" s="398"/>
      <c r="F136" s="398"/>
      <c r="G136" s="495"/>
      <c r="H136" s="401"/>
      <c r="I136" s="205"/>
      <c r="J136" s="205"/>
      <c r="K136" s="205"/>
      <c r="L136" s="618"/>
      <c r="M136" s="626"/>
      <c r="N136" s="205"/>
      <c r="O136" s="205"/>
      <c r="P136" s="205"/>
      <c r="Q136" s="205"/>
      <c r="R136" s="271"/>
      <c r="S136" s="205"/>
      <c r="T136" s="205"/>
      <c r="U136" s="205"/>
      <c r="V136" s="205"/>
      <c r="W136" s="205"/>
      <c r="X136" s="216"/>
      <c r="Y136" s="205"/>
      <c r="Z136" s="205"/>
      <c r="AA136" s="205"/>
      <c r="AB136" s="205"/>
      <c r="AC136" s="38"/>
      <c r="AD136" s="41"/>
      <c r="AE136" s="616"/>
      <c r="AF136" s="205"/>
      <c r="AG136" s="205"/>
      <c r="AH136" s="205"/>
      <c r="AI136" s="205"/>
      <c r="AJ136" s="216"/>
      <c r="AK136" s="205"/>
      <c r="AL136" s="205"/>
      <c r="AM136" s="41"/>
      <c r="AN136" s="41"/>
      <c r="AO136" s="41"/>
      <c r="AP136" s="498"/>
      <c r="AQ136" s="39"/>
      <c r="AR136" s="39"/>
      <c r="AS136" s="205"/>
      <c r="AT136" s="205"/>
      <c r="AU136" s="205"/>
      <c r="AV136" s="235"/>
      <c r="AW136" s="41"/>
      <c r="AX136" s="41"/>
      <c r="AY136" s="41"/>
      <c r="AZ136" s="41"/>
      <c r="BA136" s="41"/>
      <c r="BB136" s="237"/>
      <c r="BC136" s="41"/>
      <c r="BD136" s="41"/>
      <c r="BE136" s="41"/>
      <c r="BF136" s="41"/>
      <c r="BG136" s="41"/>
      <c r="BH136" s="224"/>
      <c r="BI136" s="210"/>
      <c r="BJ136" s="210"/>
      <c r="BK136" s="41"/>
      <c r="BL136" s="286"/>
      <c r="BM136" s="286"/>
      <c r="BN136" s="216"/>
      <c r="BO136" s="205"/>
      <c r="BR136" s="205"/>
      <c r="BS136" s="205"/>
      <c r="BT136" s="216"/>
      <c r="BU136" s="205"/>
      <c r="BV136" s="205"/>
      <c r="BW136" s="205"/>
      <c r="BX136" s="205"/>
      <c r="BY136" s="205"/>
      <c r="BZ136" s="235"/>
      <c r="CA136" s="41"/>
      <c r="CB136" s="41"/>
      <c r="CC136" s="205"/>
      <c r="CD136" s="205"/>
      <c r="CE136" s="205"/>
      <c r="CF136" s="216"/>
      <c r="CG136" s="205"/>
      <c r="CH136" s="205"/>
      <c r="CI136" s="39"/>
      <c r="CJ136" s="41"/>
      <c r="CK136" s="41"/>
      <c r="CL136" s="498"/>
      <c r="CM136" s="39"/>
      <c r="CN136" s="39"/>
      <c r="CO136" s="39"/>
      <c r="CP136" s="205"/>
      <c r="CQ136" s="205"/>
      <c r="CR136" s="282"/>
      <c r="CS136" s="205"/>
      <c r="CT136" s="41"/>
      <c r="CU136" s="41"/>
      <c r="CV136" s="41"/>
      <c r="CW136" s="41"/>
      <c r="CX136" s="237"/>
      <c r="CY136" s="41"/>
      <c r="CZ136" s="41"/>
      <c r="DA136" s="39"/>
      <c r="DB136" s="41"/>
      <c r="DC136" s="41"/>
      <c r="DD136" s="224"/>
      <c r="DE136" s="39"/>
      <c r="DF136" s="39"/>
      <c r="DG136" s="39"/>
      <c r="DH136" s="39"/>
      <c r="DI136" s="39"/>
      <c r="DJ136" s="243"/>
      <c r="DK136" s="39"/>
      <c r="DL136" s="39"/>
      <c r="DM136" s="39"/>
      <c r="DN136" s="39"/>
      <c r="DO136" s="39"/>
      <c r="DP136" s="243"/>
      <c r="DQ136" s="39">
        <f>DK136+Commerical!I136</f>
        <v>75729.2631371797</v>
      </c>
      <c r="DR136" s="39">
        <f>DL136+Commerical!J136</f>
        <v>133254.37648176812</v>
      </c>
      <c r="DS136" s="39">
        <f>DM136+Commerical!K136</f>
        <v>94661.57892147463</v>
      </c>
      <c r="DT136" s="39">
        <f>DN136+Commerical!L136</f>
        <v>67355.35423258772</v>
      </c>
      <c r="DU136" s="39">
        <f>DO136+Commerical!M136</f>
        <v>88593.52899061087</v>
      </c>
      <c r="DV136" s="243">
        <f>DP136+Commerical!N136</f>
        <v>78035.12211090793</v>
      </c>
      <c r="DW136" s="138"/>
      <c r="DX136" s="39"/>
      <c r="DY136" s="38"/>
      <c r="DZ136" s="38"/>
      <c r="EA136" s="546"/>
      <c r="EB136" s="38"/>
      <c r="EC136" s="38"/>
      <c r="ED136" s="38"/>
    </row>
    <row r="137" spans="1:134" ht="12.75">
      <c r="A137" s="88" t="s">
        <v>277</v>
      </c>
      <c r="B137" s="29">
        <f>Commerical!B137</f>
        <v>12.585400895</v>
      </c>
      <c r="C137" s="41">
        <v>18089</v>
      </c>
      <c r="D137" s="397">
        <v>36618</v>
      </c>
      <c r="E137" s="397">
        <v>25242</v>
      </c>
      <c r="F137" s="397">
        <v>31320</v>
      </c>
      <c r="G137" s="495">
        <v>54251</v>
      </c>
      <c r="H137" s="401"/>
      <c r="I137" s="205"/>
      <c r="J137" s="205"/>
      <c r="K137" s="205"/>
      <c r="L137" s="216"/>
      <c r="M137" s="205"/>
      <c r="N137" s="205"/>
      <c r="O137" s="205"/>
      <c r="P137" s="205"/>
      <c r="Q137" s="205"/>
      <c r="R137" s="271">
        <v>37960</v>
      </c>
      <c r="S137" s="205"/>
      <c r="T137" s="205"/>
      <c r="U137" s="205"/>
      <c r="V137" s="205"/>
      <c r="W137" s="205"/>
      <c r="X137" s="216"/>
      <c r="Y137" s="205"/>
      <c r="Z137" s="205"/>
      <c r="AA137" s="205"/>
      <c r="AB137" s="205"/>
      <c r="AC137" s="38"/>
      <c r="AD137" s="41"/>
      <c r="AE137" s="616"/>
      <c r="AF137" s="205"/>
      <c r="AG137" s="205"/>
      <c r="AH137" s="205"/>
      <c r="AI137" s="205"/>
      <c r="AJ137" s="216"/>
      <c r="AK137" s="205"/>
      <c r="AL137" s="205"/>
      <c r="AM137" s="41"/>
      <c r="AN137" s="41"/>
      <c r="AO137" s="41"/>
      <c r="AP137" s="498"/>
      <c r="AQ137" s="39"/>
      <c r="AR137" s="39"/>
      <c r="AS137" s="205"/>
      <c r="AT137" s="205"/>
      <c r="AU137" s="205"/>
      <c r="AV137" s="235"/>
      <c r="AW137" s="41">
        <f aca="true" t="shared" si="164" ref="AW137:AW152">(C137+H137+M137+S137+Y137+(AE137/0.212)+(AK137/0.55)+(AQ137/0.635))</f>
        <v>18089</v>
      </c>
      <c r="AX137" s="41">
        <f t="shared" si="162"/>
        <v>36618</v>
      </c>
      <c r="AY137" s="41">
        <f t="shared" si="163"/>
        <v>25242</v>
      </c>
      <c r="AZ137" s="41">
        <f aca="true" t="shared" si="165" ref="AZ137:AZ151">(F137+K137+P137+V137+AB137+(AH137/0.212)+(AN137/0.55)+(AT137/0.635))</f>
        <v>31320</v>
      </c>
      <c r="BA137" s="41">
        <f aca="true" t="shared" si="166" ref="BA137:BA151">(G137+L137+Q137+W137+AC137+(AI137/0.212)+(AO137/0.55)+(AU137/0.635))</f>
        <v>54251</v>
      </c>
      <c r="BB137" s="237">
        <f aca="true" t="shared" si="167" ref="BB137:BB151">(R137+X137+AD137+(AJ137/0.212)+(AP137/0.55)+(AV137/0.635))</f>
        <v>37960</v>
      </c>
      <c r="BC137" s="41">
        <f t="shared" si="154"/>
        <v>3168704.6713359784</v>
      </c>
      <c r="BD137" s="41">
        <f t="shared" si="155"/>
        <v>6414485.469344953</v>
      </c>
      <c r="BE137" s="41">
        <f aca="true" t="shared" si="168" ref="BE137:BE152">AY137*1000/0.45359237/$B137</f>
        <v>4421717.248817666</v>
      </c>
      <c r="BF137" s="41">
        <f aca="true" t="shared" si="169" ref="BF137:BF152">AZ137*1000/0.45359237/$B137</f>
        <v>5486418.834996012</v>
      </c>
      <c r="BG137" s="41">
        <f aca="true" t="shared" si="170" ref="BG137:BG152">BA137*1000/0.45359237/$B137</f>
        <v>9503311.245765282</v>
      </c>
      <c r="BH137" s="237">
        <f aca="true" t="shared" si="171" ref="BH137:BH152">BB137*1000/0.45359237/$B137</f>
        <v>6649567.6556975925</v>
      </c>
      <c r="BI137" s="41">
        <v>198</v>
      </c>
      <c r="BJ137" s="41">
        <v>320</v>
      </c>
      <c r="BK137" s="41">
        <v>737</v>
      </c>
      <c r="BL137" s="400">
        <v>381</v>
      </c>
      <c r="BM137" s="400">
        <v>94</v>
      </c>
      <c r="BN137" s="216">
        <v>30</v>
      </c>
      <c r="BO137" s="205"/>
      <c r="BR137" s="205"/>
      <c r="BS137" s="205"/>
      <c r="BT137" s="216"/>
      <c r="BU137" s="205"/>
      <c r="BV137" s="205"/>
      <c r="BW137" s="205"/>
      <c r="BX137" s="205"/>
      <c r="BY137" s="205"/>
      <c r="BZ137" s="235"/>
      <c r="CA137" s="41"/>
      <c r="CB137" s="41"/>
      <c r="CC137" s="205"/>
      <c r="CD137" s="205"/>
      <c r="CE137" s="205"/>
      <c r="CF137" s="216"/>
      <c r="CG137" s="205"/>
      <c r="CH137" s="205"/>
      <c r="CI137" s="39"/>
      <c r="CJ137" s="41"/>
      <c r="CK137" s="41"/>
      <c r="CL137" s="498"/>
      <c r="CM137" s="39"/>
      <c r="CN137" s="39"/>
      <c r="CO137" s="39"/>
      <c r="CP137" s="205"/>
      <c r="CQ137" s="205"/>
      <c r="CR137" s="282"/>
      <c r="CS137" s="41">
        <f aca="true" t="shared" si="172" ref="CS137:CX138">(BI137+BO137+BU137+(CA137/0.212)+(CG137/0.55)+(CM137/0.635))</f>
        <v>198</v>
      </c>
      <c r="CT137" s="41">
        <f t="shared" si="172"/>
        <v>320</v>
      </c>
      <c r="CU137" s="41">
        <f t="shared" si="172"/>
        <v>737</v>
      </c>
      <c r="CV137" s="41">
        <f t="shared" si="172"/>
        <v>381</v>
      </c>
      <c r="CW137" s="41">
        <f t="shared" si="172"/>
        <v>94</v>
      </c>
      <c r="CX137" s="237">
        <f t="shared" si="172"/>
        <v>30</v>
      </c>
      <c r="CY137" s="41">
        <f>CS137*1000/0.45359237/$B137</f>
        <v>34684.257002848346</v>
      </c>
      <c r="CZ137" s="41">
        <f>CT137*1000/0.45359237/$B137</f>
        <v>56055.36485308824</v>
      </c>
      <c r="DA137" s="41">
        <f aca="true" t="shared" si="173" ref="DA137:DD138">CU137*1000/0.45359237/$B137</f>
        <v>129102.51217726886</v>
      </c>
      <c r="DB137" s="41">
        <f t="shared" si="173"/>
        <v>66740.91877820819</v>
      </c>
      <c r="DC137" s="41">
        <f t="shared" si="173"/>
        <v>16466.263425594672</v>
      </c>
      <c r="DD137" s="237">
        <f t="shared" si="173"/>
        <v>5255.1904549770225</v>
      </c>
      <c r="DE137" s="39">
        <f t="shared" si="159"/>
        <v>17891</v>
      </c>
      <c r="DF137" s="39">
        <f>AX137-CT137</f>
        <v>36298</v>
      </c>
      <c r="DG137" s="39">
        <f>AY137-CU137</f>
        <v>24505</v>
      </c>
      <c r="DH137" s="39">
        <f>AZ137-CV137</f>
        <v>30939</v>
      </c>
      <c r="DI137" s="39">
        <f>BA137-CW137</f>
        <v>54157</v>
      </c>
      <c r="DJ137" s="243">
        <f>BB137-CX137</f>
        <v>37930</v>
      </c>
      <c r="DK137" s="39">
        <f t="shared" si="149"/>
        <v>3134020.4143331302</v>
      </c>
      <c r="DL137" s="39">
        <f aca="true" t="shared" si="174" ref="DL137:DL153">BD137-CZ137</f>
        <v>6358430.104491865</v>
      </c>
      <c r="DM137" s="39">
        <f aca="true" t="shared" si="175" ref="DM137:DM153">BE137-DA137</f>
        <v>4292614.736640397</v>
      </c>
      <c r="DN137" s="39">
        <f aca="true" t="shared" si="176" ref="DN137:DN153">BF137-DB137</f>
        <v>5419677.916217804</v>
      </c>
      <c r="DO137" s="39">
        <f aca="true" t="shared" si="177" ref="DO137:DO153">BG137-DC137</f>
        <v>9486844.982339688</v>
      </c>
      <c r="DP137" s="243">
        <f aca="true" t="shared" si="178" ref="DP137:DP153">BH137-DD137</f>
        <v>6644312.465242616</v>
      </c>
      <c r="DQ137" s="39">
        <f>DK137+Commerical!I137</f>
        <v>3184634.614493657</v>
      </c>
      <c r="DR137" s="39">
        <f>DL137+Commerical!J137</f>
        <v>6382902.904569482</v>
      </c>
      <c r="DS137" s="39">
        <f>DM137+Commerical!K137</f>
        <v>4350936.279682511</v>
      </c>
      <c r="DT137" s="39">
        <f>DN137+Commerical!L137</f>
        <v>5492619.573592001</v>
      </c>
      <c r="DU137" s="39">
        <f>DO137+Commerical!M137</f>
        <v>9545802.182526674</v>
      </c>
      <c r="DV137" s="243">
        <f>DP137+Commerical!N137</f>
        <v>16413409.296226006</v>
      </c>
      <c r="DW137" s="138"/>
      <c r="DX137" s="39"/>
      <c r="DY137" s="38"/>
      <c r="DZ137" s="38"/>
      <c r="EA137" s="546"/>
      <c r="EB137" s="38"/>
      <c r="EC137" s="38"/>
      <c r="ED137" s="38"/>
    </row>
    <row r="138" spans="1:134" ht="12.75">
      <c r="A138" s="204" t="s">
        <v>278</v>
      </c>
      <c r="B138" s="29">
        <f>Commerical!B138</f>
        <v>43.541296745</v>
      </c>
      <c r="C138" s="41">
        <v>19061</v>
      </c>
      <c r="D138" s="397">
        <v>23211</v>
      </c>
      <c r="E138" s="397">
        <v>17306</v>
      </c>
      <c r="F138" s="397">
        <v>23660</v>
      </c>
      <c r="G138" s="495">
        <v>26757</v>
      </c>
      <c r="H138" s="401"/>
      <c r="I138" s="205"/>
      <c r="J138" s="205"/>
      <c r="K138" s="205"/>
      <c r="L138" s="216"/>
      <c r="M138" s="205"/>
      <c r="N138" s="205"/>
      <c r="O138" s="205"/>
      <c r="P138" s="205"/>
      <c r="Q138" s="205"/>
      <c r="R138" s="271">
        <v>25776</v>
      </c>
      <c r="S138" s="205"/>
      <c r="T138" s="205"/>
      <c r="U138" s="205"/>
      <c r="V138" s="397"/>
      <c r="W138" s="397"/>
      <c r="X138" s="216"/>
      <c r="Y138" s="205"/>
      <c r="Z138" s="205"/>
      <c r="AA138" s="205"/>
      <c r="AB138" s="205"/>
      <c r="AC138" s="38"/>
      <c r="AD138" s="41"/>
      <c r="AE138" s="616"/>
      <c r="AF138" s="205"/>
      <c r="AG138" s="205"/>
      <c r="AH138" s="205"/>
      <c r="AI138" s="205"/>
      <c r="AJ138" s="216"/>
      <c r="AK138" s="205"/>
      <c r="AL138" s="205"/>
      <c r="AM138" s="41"/>
      <c r="AN138" s="41"/>
      <c r="AO138" s="41"/>
      <c r="AP138" s="498"/>
      <c r="AQ138" s="39"/>
      <c r="AR138" s="39"/>
      <c r="AS138" s="205"/>
      <c r="AT138" s="205"/>
      <c r="AU138" s="205"/>
      <c r="AV138" s="235"/>
      <c r="AW138" s="41">
        <f t="shared" si="164"/>
        <v>19061</v>
      </c>
      <c r="AX138" s="41">
        <f t="shared" si="162"/>
        <v>23211</v>
      </c>
      <c r="AY138" s="41">
        <f t="shared" si="163"/>
        <v>17306</v>
      </c>
      <c r="AZ138" s="41">
        <f t="shared" si="165"/>
        <v>23660</v>
      </c>
      <c r="BA138" s="41">
        <f t="shared" si="166"/>
        <v>26757</v>
      </c>
      <c r="BB138" s="237">
        <f t="shared" si="167"/>
        <v>25776</v>
      </c>
      <c r="BC138" s="41">
        <f t="shared" si="154"/>
        <v>965113.9248599685</v>
      </c>
      <c r="BD138" s="41">
        <f t="shared" si="155"/>
        <v>1175240.5073146597</v>
      </c>
      <c r="BE138" s="41">
        <f t="shared" si="168"/>
        <v>876253.1652917798</v>
      </c>
      <c r="BF138" s="41">
        <f t="shared" si="169"/>
        <v>1197974.684548914</v>
      </c>
      <c r="BG138" s="41">
        <f t="shared" si="170"/>
        <v>1354784.811262692</v>
      </c>
      <c r="BH138" s="237">
        <f t="shared" si="171"/>
        <v>1305113.9251450892</v>
      </c>
      <c r="BI138" s="41">
        <v>331</v>
      </c>
      <c r="BJ138" s="41">
        <v>281</v>
      </c>
      <c r="BK138" s="41">
        <v>495</v>
      </c>
      <c r="BL138" s="401">
        <v>4338</v>
      </c>
      <c r="BM138" s="400">
        <v>286</v>
      </c>
      <c r="BN138" s="216">
        <v>291</v>
      </c>
      <c r="BO138" s="205"/>
      <c r="BP138" s="205"/>
      <c r="BQ138" s="205"/>
      <c r="BR138" s="205"/>
      <c r="BS138" s="205"/>
      <c r="BT138" s="216"/>
      <c r="BU138" s="205"/>
      <c r="BV138" s="205"/>
      <c r="BW138" s="205"/>
      <c r="BX138" s="205"/>
      <c r="BY138" s="205"/>
      <c r="BZ138" s="235"/>
      <c r="CA138" s="41"/>
      <c r="CB138" s="41"/>
      <c r="CC138" s="205"/>
      <c r="CD138" s="205"/>
      <c r="CE138" s="205"/>
      <c r="CF138" s="216"/>
      <c r="CG138" s="205"/>
      <c r="CH138" s="205"/>
      <c r="CI138" s="39"/>
      <c r="CJ138" s="41"/>
      <c r="CK138" s="41"/>
      <c r="CL138" s="498"/>
      <c r="CM138" s="39"/>
      <c r="CN138" s="39"/>
      <c r="CO138" s="39"/>
      <c r="CP138" s="205"/>
      <c r="CQ138" s="205"/>
      <c r="CR138" s="282"/>
      <c r="CS138" s="41">
        <f t="shared" si="172"/>
        <v>331</v>
      </c>
      <c r="CT138" s="41">
        <f t="shared" si="172"/>
        <v>281</v>
      </c>
      <c r="CU138" s="41">
        <f t="shared" si="172"/>
        <v>495</v>
      </c>
      <c r="CV138" s="41">
        <f t="shared" si="172"/>
        <v>4338</v>
      </c>
      <c r="CW138" s="41">
        <f t="shared" si="172"/>
        <v>286</v>
      </c>
      <c r="CX138" s="237">
        <f t="shared" si="172"/>
        <v>291</v>
      </c>
      <c r="CY138" s="41">
        <f>CS138*1000/0.45359237/$B138</f>
        <v>16759.493684940433</v>
      </c>
      <c r="CZ138" s="41">
        <f>CT138*1000/0.45359237/$B138</f>
        <v>14227.848113197164</v>
      </c>
      <c r="DA138" s="41">
        <f t="shared" si="173"/>
        <v>25063.291160258348</v>
      </c>
      <c r="DB138" s="41">
        <f t="shared" si="173"/>
        <v>219645.56980444587</v>
      </c>
      <c r="DC138" s="41">
        <f t="shared" si="173"/>
        <v>14481.01267037149</v>
      </c>
      <c r="DD138" s="237">
        <f t="shared" si="173"/>
        <v>14734.177227545815</v>
      </c>
      <c r="DE138" s="39">
        <f t="shared" si="159"/>
        <v>18730</v>
      </c>
      <c r="DF138" s="39">
        <f aca="true" t="shared" si="179" ref="DF138:DF153">AX138-CT138</f>
        <v>22930</v>
      </c>
      <c r="DG138" s="39">
        <f aca="true" t="shared" si="180" ref="DG138:DG153">AY138-CU138</f>
        <v>16811</v>
      </c>
      <c r="DH138" s="39">
        <f aca="true" t="shared" si="181" ref="DH138:DH153">AZ138-CV138</f>
        <v>19322</v>
      </c>
      <c r="DI138" s="39">
        <f aca="true" t="shared" si="182" ref="DI138:DI153">BA138-CW138</f>
        <v>26471</v>
      </c>
      <c r="DJ138" s="243">
        <f aca="true" t="shared" si="183" ref="DJ138:DJ153">BB138-CX138</f>
        <v>25485</v>
      </c>
      <c r="DK138" s="39">
        <f t="shared" si="149"/>
        <v>948354.4311750281</v>
      </c>
      <c r="DL138" s="39">
        <f t="shared" si="174"/>
        <v>1161012.6592014625</v>
      </c>
      <c r="DM138" s="39">
        <f t="shared" si="175"/>
        <v>851189.8741315214</v>
      </c>
      <c r="DN138" s="39">
        <f t="shared" si="176"/>
        <v>978329.1147444681</v>
      </c>
      <c r="DO138" s="39">
        <f t="shared" si="177"/>
        <v>1340303.7985923206</v>
      </c>
      <c r="DP138" s="243">
        <f t="shared" si="178"/>
        <v>1290379.7479175434</v>
      </c>
      <c r="DQ138" s="39">
        <f>DK138+Commerical!I138</f>
        <v>1093825.5235289175</v>
      </c>
      <c r="DR138" s="39">
        <f>DL138+Commerical!J138</f>
        <v>1264156.1192206158</v>
      </c>
      <c r="DS138" s="39">
        <f>DM138+Commerical!K138</f>
        <v>990896.324208678</v>
      </c>
      <c r="DT138" s="39">
        <f>DN138+Commerical!L138</f>
        <v>1116037.461721721</v>
      </c>
      <c r="DU138" s="39">
        <f>DO138+Commerical!M138</f>
        <v>1536692.0699403011</v>
      </c>
      <c r="DV138" s="243">
        <f>DP138+Commerical!N138</f>
        <v>1891418.347049417</v>
      </c>
      <c r="DW138" s="138"/>
      <c r="DX138" s="39"/>
      <c r="DY138" s="38"/>
      <c r="DZ138" s="38"/>
      <c r="EA138" s="546"/>
      <c r="EB138" s="38"/>
      <c r="EC138" s="38"/>
      <c r="ED138" s="38"/>
    </row>
    <row r="139" spans="1:134" ht="12.75">
      <c r="A139" s="204" t="s">
        <v>700</v>
      </c>
      <c r="B139" s="29">
        <f>B138</f>
        <v>43.541296745</v>
      </c>
      <c r="C139" s="41">
        <v>0</v>
      </c>
      <c r="D139" s="397">
        <v>7</v>
      </c>
      <c r="E139" s="398">
        <v>17</v>
      </c>
      <c r="F139" s="398">
        <v>29</v>
      </c>
      <c r="G139" s="494">
        <v>18</v>
      </c>
      <c r="H139" s="401"/>
      <c r="I139" s="205"/>
      <c r="J139" s="205"/>
      <c r="K139" s="205"/>
      <c r="L139" s="216"/>
      <c r="M139" s="205"/>
      <c r="N139" s="205"/>
      <c r="O139" s="205"/>
      <c r="P139" s="205"/>
      <c r="Q139" s="205"/>
      <c r="R139" s="271">
        <v>45</v>
      </c>
      <c r="S139" s="205"/>
      <c r="X139" s="216"/>
      <c r="Y139" s="205"/>
      <c r="Z139" s="205"/>
      <c r="AA139" s="205"/>
      <c r="AB139" s="205"/>
      <c r="AC139" s="38"/>
      <c r="AD139" s="41"/>
      <c r="AE139" s="616"/>
      <c r="AF139" s="205"/>
      <c r="AG139" s="205"/>
      <c r="AH139" s="205"/>
      <c r="AI139" s="205"/>
      <c r="AJ139" s="216"/>
      <c r="AK139" s="205"/>
      <c r="AL139" s="205"/>
      <c r="AM139" s="41"/>
      <c r="AN139" s="41"/>
      <c r="AO139" s="41"/>
      <c r="AP139" s="498"/>
      <c r="AQ139" s="39"/>
      <c r="AR139" s="39"/>
      <c r="AS139" s="205"/>
      <c r="AT139" s="205"/>
      <c r="AU139" s="205"/>
      <c r="AV139" s="235"/>
      <c r="AW139" s="41">
        <f t="shared" si="164"/>
        <v>0</v>
      </c>
      <c r="AX139" s="41">
        <f t="shared" si="162"/>
        <v>7</v>
      </c>
      <c r="AY139" s="41">
        <f t="shared" si="163"/>
        <v>17</v>
      </c>
      <c r="AZ139" s="41">
        <f t="shared" si="165"/>
        <v>29</v>
      </c>
      <c r="BA139" s="41">
        <f t="shared" si="166"/>
        <v>18</v>
      </c>
      <c r="BB139" s="237">
        <f t="shared" si="167"/>
        <v>45</v>
      </c>
      <c r="BC139" s="41">
        <f t="shared" si="154"/>
        <v>0</v>
      </c>
      <c r="BD139" s="41">
        <f t="shared" si="155"/>
        <v>354.4303800440574</v>
      </c>
      <c r="BE139" s="41">
        <f t="shared" si="168"/>
        <v>860.7594943927108</v>
      </c>
      <c r="BF139" s="41">
        <f t="shared" si="169"/>
        <v>1468.354431611095</v>
      </c>
      <c r="BG139" s="41">
        <f t="shared" si="170"/>
        <v>911.3924058275763</v>
      </c>
      <c r="BH139" s="237">
        <f t="shared" si="171"/>
        <v>2278.4810145689407</v>
      </c>
      <c r="BI139" s="41"/>
      <c r="BJ139" s="41"/>
      <c r="BK139" s="41"/>
      <c r="BL139" s="286"/>
      <c r="BM139" s="286"/>
      <c r="BN139" s="216"/>
      <c r="BO139" s="205"/>
      <c r="BP139" s="205"/>
      <c r="BQ139" s="205"/>
      <c r="BR139" s="205"/>
      <c r="BS139" s="205"/>
      <c r="BT139" s="216"/>
      <c r="BU139" s="205"/>
      <c r="BV139" s="205"/>
      <c r="BW139" s="205"/>
      <c r="BX139" s="205"/>
      <c r="BY139" s="205"/>
      <c r="BZ139" s="235"/>
      <c r="CA139" s="41"/>
      <c r="CB139" s="41"/>
      <c r="CC139" s="205"/>
      <c r="CD139" s="205"/>
      <c r="CE139" s="205"/>
      <c r="CF139" s="216"/>
      <c r="CG139" s="205"/>
      <c r="CH139" s="205"/>
      <c r="CI139" s="39"/>
      <c r="CJ139" s="41"/>
      <c r="CK139" s="41"/>
      <c r="CL139" s="498"/>
      <c r="CM139" s="39"/>
      <c r="CN139" s="39"/>
      <c r="CO139" s="39"/>
      <c r="CP139" s="205"/>
      <c r="CQ139" s="205"/>
      <c r="CR139" s="282"/>
      <c r="CS139" s="205"/>
      <c r="CT139" s="41"/>
      <c r="CU139" s="41"/>
      <c r="CV139" s="41"/>
      <c r="CW139" s="41"/>
      <c r="CX139" s="237"/>
      <c r="CY139" s="41"/>
      <c r="CZ139" s="41"/>
      <c r="DA139" s="39"/>
      <c r="DB139" s="41"/>
      <c r="DC139" s="41"/>
      <c r="DD139" s="237"/>
      <c r="DE139" s="39">
        <f t="shared" si="159"/>
        <v>0</v>
      </c>
      <c r="DF139" s="39">
        <f t="shared" si="179"/>
        <v>7</v>
      </c>
      <c r="DG139" s="39">
        <f t="shared" si="180"/>
        <v>17</v>
      </c>
      <c r="DH139" s="39">
        <f t="shared" si="181"/>
        <v>29</v>
      </c>
      <c r="DI139" s="39">
        <f t="shared" si="182"/>
        <v>18</v>
      </c>
      <c r="DJ139" s="243">
        <f t="shared" si="183"/>
        <v>45</v>
      </c>
      <c r="DK139" s="39">
        <f t="shared" si="149"/>
        <v>0</v>
      </c>
      <c r="DL139" s="39">
        <f t="shared" si="174"/>
        <v>354.4303800440574</v>
      </c>
      <c r="DM139" s="39">
        <f t="shared" si="175"/>
        <v>860.7594943927108</v>
      </c>
      <c r="DN139" s="39">
        <f t="shared" si="176"/>
        <v>1468.354431611095</v>
      </c>
      <c r="DO139" s="39">
        <f t="shared" si="177"/>
        <v>911.3924058275763</v>
      </c>
      <c r="DP139" s="243">
        <f t="shared" si="178"/>
        <v>2278.4810145689407</v>
      </c>
      <c r="DQ139" s="39">
        <f>DK139+Commerical!I139</f>
        <v>0</v>
      </c>
      <c r="DR139" s="39">
        <f>DL139+Commerical!J139</f>
        <v>354.4303800440574</v>
      </c>
      <c r="DS139" s="39">
        <f>DM139+Commerical!K139</f>
        <v>860.7594943927108</v>
      </c>
      <c r="DT139" s="39">
        <f>DN139+Commerical!L139</f>
        <v>1468.354431611095</v>
      </c>
      <c r="DU139" s="39">
        <f>DO139+Commerical!M139</f>
        <v>911.3924058275763</v>
      </c>
      <c r="DV139" s="243">
        <f>DP139+Commerical!N139</f>
        <v>2278.4810145689407</v>
      </c>
      <c r="DW139" s="138"/>
      <c r="DX139" s="39"/>
      <c r="DY139" s="38"/>
      <c r="DZ139" s="38"/>
      <c r="EA139" s="546"/>
      <c r="EB139" s="38"/>
      <c r="EC139" s="38"/>
      <c r="ED139" s="38"/>
    </row>
    <row r="140" spans="1:134" ht="12.75">
      <c r="A140" s="204" t="s">
        <v>701</v>
      </c>
      <c r="B140" s="29">
        <f>B138</f>
        <v>43.541296745</v>
      </c>
      <c r="C140" s="41">
        <v>1637</v>
      </c>
      <c r="D140" s="397">
        <v>1760</v>
      </c>
      <c r="E140" s="397">
        <v>2818</v>
      </c>
      <c r="F140" s="397">
        <v>3320</v>
      </c>
      <c r="G140" s="495">
        <v>5696</v>
      </c>
      <c r="H140" s="401"/>
      <c r="I140" s="205"/>
      <c r="J140" s="205"/>
      <c r="K140" s="205"/>
      <c r="L140" s="618"/>
      <c r="M140" s="626"/>
      <c r="N140" s="205"/>
      <c r="O140" s="205"/>
      <c r="P140" s="205"/>
      <c r="Q140" s="205"/>
      <c r="R140" s="271">
        <v>5610</v>
      </c>
      <c r="S140" s="205"/>
      <c r="V140" s="205"/>
      <c r="W140" s="205"/>
      <c r="X140" s="216"/>
      <c r="Y140" s="205"/>
      <c r="Z140" s="205"/>
      <c r="AA140" s="205"/>
      <c r="AB140" s="205"/>
      <c r="AC140" s="38"/>
      <c r="AD140" s="41"/>
      <c r="AE140" s="616"/>
      <c r="AF140" s="205"/>
      <c r="AG140" s="205"/>
      <c r="AH140" s="205"/>
      <c r="AI140" s="205"/>
      <c r="AJ140" s="216"/>
      <c r="AK140" s="205"/>
      <c r="AL140" s="205"/>
      <c r="AM140" s="41"/>
      <c r="AN140" s="41"/>
      <c r="AO140" s="41"/>
      <c r="AP140" s="498"/>
      <c r="AQ140" s="39"/>
      <c r="AR140" s="39"/>
      <c r="AS140" s="205"/>
      <c r="AT140" s="205"/>
      <c r="AU140" s="205"/>
      <c r="AV140" s="235"/>
      <c r="AW140" s="41">
        <f t="shared" si="164"/>
        <v>1637</v>
      </c>
      <c r="AX140" s="41">
        <f t="shared" si="162"/>
        <v>1760</v>
      </c>
      <c r="AY140" s="41">
        <f t="shared" si="163"/>
        <v>2818</v>
      </c>
      <c r="AZ140" s="41">
        <f t="shared" si="165"/>
        <v>3320</v>
      </c>
      <c r="BA140" s="41">
        <f t="shared" si="166"/>
        <v>5696</v>
      </c>
      <c r="BB140" s="237">
        <f t="shared" si="167"/>
        <v>5610</v>
      </c>
      <c r="BC140" s="41">
        <f t="shared" si="154"/>
        <v>82886.07601887458</v>
      </c>
      <c r="BD140" s="41">
        <f t="shared" si="155"/>
        <v>89113.92412536302</v>
      </c>
      <c r="BE140" s="41">
        <f t="shared" si="168"/>
        <v>142683.54442345054</v>
      </c>
      <c r="BF140" s="41">
        <f t="shared" si="169"/>
        <v>168101.26596375296</v>
      </c>
      <c r="BG140" s="41">
        <f t="shared" si="170"/>
        <v>288405.063532993</v>
      </c>
      <c r="BH140" s="237">
        <f t="shared" si="171"/>
        <v>284050.63314959465</v>
      </c>
      <c r="BI140" s="41"/>
      <c r="BJ140" s="41"/>
      <c r="BK140" s="41"/>
      <c r="BL140" s="286"/>
      <c r="BM140" s="41"/>
      <c r="BN140" s="216"/>
      <c r="BO140" s="205"/>
      <c r="BP140" s="205"/>
      <c r="BQ140" s="205"/>
      <c r="BR140" s="205"/>
      <c r="BS140" s="205"/>
      <c r="BT140" s="216"/>
      <c r="BU140" s="205"/>
      <c r="BV140" s="205"/>
      <c r="BW140" s="205"/>
      <c r="BX140" s="205"/>
      <c r="BY140" s="205"/>
      <c r="BZ140" s="235"/>
      <c r="CA140" s="41"/>
      <c r="CB140" s="41"/>
      <c r="CC140" s="205"/>
      <c r="CD140" s="205"/>
      <c r="CE140" s="205"/>
      <c r="CF140" s="216"/>
      <c r="CG140" s="205"/>
      <c r="CH140" s="205"/>
      <c r="CI140" s="39"/>
      <c r="CJ140" s="41"/>
      <c r="CK140" s="41"/>
      <c r="CL140" s="498"/>
      <c r="CM140" s="39"/>
      <c r="CN140" s="39"/>
      <c r="CO140" s="39"/>
      <c r="CP140" s="205"/>
      <c r="CQ140" s="205"/>
      <c r="CR140" s="282"/>
      <c r="CS140" s="205"/>
      <c r="CT140" s="41"/>
      <c r="CU140" s="41"/>
      <c r="CV140" s="41"/>
      <c r="CW140" s="41"/>
      <c r="CX140" s="237"/>
      <c r="CY140" s="41"/>
      <c r="CZ140" s="41"/>
      <c r="DA140" s="39"/>
      <c r="DB140" s="41"/>
      <c r="DC140" s="41"/>
      <c r="DD140" s="237"/>
      <c r="DE140" s="39">
        <f t="shared" si="159"/>
        <v>1637</v>
      </c>
      <c r="DF140" s="39">
        <f t="shared" si="179"/>
        <v>1760</v>
      </c>
      <c r="DG140" s="39">
        <f t="shared" si="180"/>
        <v>2818</v>
      </c>
      <c r="DH140" s="39">
        <f t="shared" si="181"/>
        <v>3320</v>
      </c>
      <c r="DI140" s="39">
        <f t="shared" si="182"/>
        <v>5696</v>
      </c>
      <c r="DJ140" s="243">
        <f t="shared" si="183"/>
        <v>5610</v>
      </c>
      <c r="DK140" s="39">
        <f t="shared" si="149"/>
        <v>82886.07601887458</v>
      </c>
      <c r="DL140" s="39">
        <f t="shared" si="174"/>
        <v>89113.92412536302</v>
      </c>
      <c r="DM140" s="39">
        <f t="shared" si="175"/>
        <v>142683.54442345054</v>
      </c>
      <c r="DN140" s="39">
        <f t="shared" si="176"/>
        <v>168101.26596375296</v>
      </c>
      <c r="DO140" s="39">
        <f t="shared" si="177"/>
        <v>288405.063532993</v>
      </c>
      <c r="DP140" s="243">
        <f t="shared" si="178"/>
        <v>284050.63314959465</v>
      </c>
      <c r="DQ140" s="39">
        <f>DK140+Commerical!I140</f>
        <v>82886.07601887458</v>
      </c>
      <c r="DR140" s="39">
        <f>DL140+Commerical!J140</f>
        <v>89113.92412536302</v>
      </c>
      <c r="DS140" s="39">
        <f>DM140+Commerical!K140</f>
        <v>142683.54442345054</v>
      </c>
      <c r="DT140" s="39">
        <f>DN140+Commerical!L140</f>
        <v>168101.26596375296</v>
      </c>
      <c r="DU140" s="39">
        <f>DO140+Commerical!M140</f>
        <v>288405.063532993</v>
      </c>
      <c r="DV140" s="243">
        <f>DP140+Commerical!N140</f>
        <v>284050.63314959465</v>
      </c>
      <c r="DW140" s="138"/>
      <c r="DX140" s="39"/>
      <c r="DY140" s="38"/>
      <c r="DZ140" s="38"/>
      <c r="EA140" s="546"/>
      <c r="EB140" s="38"/>
      <c r="EC140" s="38"/>
      <c r="ED140" s="38"/>
    </row>
    <row r="141" spans="1:134" ht="12.75">
      <c r="A141" s="88" t="s">
        <v>644</v>
      </c>
      <c r="B141" s="29">
        <f>Commerical!B141</f>
        <v>63.87054081753807</v>
      </c>
      <c r="C141" s="41">
        <v>63191</v>
      </c>
      <c r="D141" s="397">
        <v>73373</v>
      </c>
      <c r="E141" s="398">
        <v>52461</v>
      </c>
      <c r="F141" s="398">
        <f>47425+268</f>
        <v>47693</v>
      </c>
      <c r="G141" s="494">
        <f>315+45975</f>
        <v>46290</v>
      </c>
      <c r="H141" s="401"/>
      <c r="I141" s="205"/>
      <c r="J141" s="205"/>
      <c r="K141" s="205"/>
      <c r="L141" s="618"/>
      <c r="M141" s="626"/>
      <c r="N141" s="205"/>
      <c r="O141" s="205"/>
      <c r="P141" s="205"/>
      <c r="Q141" s="205"/>
      <c r="R141" s="271">
        <v>59368</v>
      </c>
      <c r="S141" s="205"/>
      <c r="T141" s="205"/>
      <c r="U141" s="205"/>
      <c r="V141" s="205"/>
      <c r="W141" s="205"/>
      <c r="X141" s="216"/>
      <c r="Y141" s="205">
        <v>155375</v>
      </c>
      <c r="Z141" s="205">
        <v>166974</v>
      </c>
      <c r="AA141" s="205">
        <v>151743</v>
      </c>
      <c r="AB141" s="397">
        <v>142076</v>
      </c>
      <c r="AC141" s="397">
        <v>140288</v>
      </c>
      <c r="AD141" s="41">
        <v>160932</v>
      </c>
      <c r="AE141" s="616"/>
      <c r="AF141" s="205"/>
      <c r="AG141" s="205"/>
      <c r="AH141" s="205"/>
      <c r="AI141" s="205"/>
      <c r="AJ141" s="216"/>
      <c r="AK141" s="205"/>
      <c r="AL141" s="205"/>
      <c r="AM141" s="41"/>
      <c r="AN141" s="41"/>
      <c r="AO141" s="41"/>
      <c r="AP141" s="498"/>
      <c r="AQ141" s="39"/>
      <c r="AR141" s="39"/>
      <c r="AS141" s="205"/>
      <c r="AT141" s="205"/>
      <c r="AU141" s="205"/>
      <c r="AV141" s="235"/>
      <c r="AW141" s="41">
        <f t="shared" si="164"/>
        <v>218566</v>
      </c>
      <c r="AX141" s="41">
        <f t="shared" si="162"/>
        <v>240347</v>
      </c>
      <c r="AY141" s="41">
        <f t="shared" si="163"/>
        <v>204204</v>
      </c>
      <c r="AZ141" s="41">
        <f t="shared" si="165"/>
        <v>189769</v>
      </c>
      <c r="BA141" s="41">
        <f t="shared" si="166"/>
        <v>186578</v>
      </c>
      <c r="BB141" s="237">
        <f t="shared" si="167"/>
        <v>220300</v>
      </c>
      <c r="BC141" s="41">
        <f t="shared" si="154"/>
        <v>7544253.450797271</v>
      </c>
      <c r="BD141" s="41">
        <f t="shared" si="155"/>
        <v>8296069.306931415</v>
      </c>
      <c r="BE141" s="41">
        <f t="shared" si="168"/>
        <v>7048519.585235607</v>
      </c>
      <c r="BF141" s="41">
        <f t="shared" si="169"/>
        <v>6550265.975057178</v>
      </c>
      <c r="BG141" s="41">
        <f t="shared" si="170"/>
        <v>6440122.069959889</v>
      </c>
      <c r="BH141" s="237">
        <f t="shared" si="171"/>
        <v>7604106.014707862</v>
      </c>
      <c r="BI141" s="41">
        <v>4779</v>
      </c>
      <c r="BJ141" s="41">
        <v>4901</v>
      </c>
      <c r="BK141" s="41">
        <v>6411</v>
      </c>
      <c r="BL141" s="401">
        <v>1741</v>
      </c>
      <c r="BM141" s="401">
        <v>2525</v>
      </c>
      <c r="BN141" s="216">
        <v>2070</v>
      </c>
      <c r="BO141" s="205"/>
      <c r="BP141" s="205"/>
      <c r="BQ141" s="205"/>
      <c r="BR141" s="205"/>
      <c r="BS141" s="205"/>
      <c r="BT141" s="216"/>
      <c r="BU141" s="205"/>
      <c r="BV141" s="205"/>
      <c r="BW141" s="205"/>
      <c r="BX141" s="205"/>
      <c r="BY141" s="205"/>
      <c r="BZ141" s="235"/>
      <c r="CA141" s="41"/>
      <c r="CB141" s="41"/>
      <c r="CC141" s="205"/>
      <c r="CD141" s="205"/>
      <c r="CE141" s="205"/>
      <c r="CF141" s="216"/>
      <c r="CG141" s="205"/>
      <c r="CH141" s="205"/>
      <c r="CI141" s="39"/>
      <c r="CJ141" s="41"/>
      <c r="CK141" s="41"/>
      <c r="CL141" s="498"/>
      <c r="CM141" s="39"/>
      <c r="CN141" s="39"/>
      <c r="CO141" s="39"/>
      <c r="CP141" s="205"/>
      <c r="CQ141" s="205"/>
      <c r="CR141" s="282"/>
      <c r="CS141" s="41">
        <f aca="true" t="shared" si="184" ref="CS141:CX142">(BI141+BO141+BU141+(CA141/0.212)+(CG141/0.55)+(CM141/0.635))</f>
        <v>4779</v>
      </c>
      <c r="CT141" s="41">
        <f t="shared" si="184"/>
        <v>4901</v>
      </c>
      <c r="CU141" s="41">
        <f t="shared" si="184"/>
        <v>6411</v>
      </c>
      <c r="CV141" s="41">
        <f t="shared" si="184"/>
        <v>1741</v>
      </c>
      <c r="CW141" s="41">
        <f t="shared" si="184"/>
        <v>2525</v>
      </c>
      <c r="CX141" s="237">
        <f t="shared" si="184"/>
        <v>2070</v>
      </c>
      <c r="CY141" s="41">
        <f>CS141*1000/0.45359237/$B141</f>
        <v>164956.97977434806</v>
      </c>
      <c r="CZ141" s="41">
        <f>CT141*1000/0.45359237/$B141</f>
        <v>169168.05981880723</v>
      </c>
      <c r="DA141" s="41">
        <f aca="true" t="shared" si="185" ref="DA141:DD142">CU141*1000/0.45359237/$B141</f>
        <v>221288.80463137588</v>
      </c>
      <c r="DB141" s="41">
        <f t="shared" si="185"/>
        <v>60094.183257405304</v>
      </c>
      <c r="DC141" s="41">
        <f t="shared" si="185"/>
        <v>87155.55010048731</v>
      </c>
      <c r="DD141" s="237">
        <f t="shared" si="185"/>
        <v>71450.29255762721</v>
      </c>
      <c r="DE141" s="39">
        <f t="shared" si="159"/>
        <v>213787</v>
      </c>
      <c r="DF141" s="39">
        <f t="shared" si="179"/>
        <v>235446</v>
      </c>
      <c r="DG141" s="39">
        <f t="shared" si="180"/>
        <v>197793</v>
      </c>
      <c r="DH141" s="39">
        <f t="shared" si="181"/>
        <v>188028</v>
      </c>
      <c r="DI141" s="39">
        <f t="shared" si="182"/>
        <v>184053</v>
      </c>
      <c r="DJ141" s="243">
        <f t="shared" si="183"/>
        <v>218230</v>
      </c>
      <c r="DK141" s="39">
        <f t="shared" si="149"/>
        <v>7379296.471022923</v>
      </c>
      <c r="DL141" s="39">
        <f t="shared" si="174"/>
        <v>8126901.247112608</v>
      </c>
      <c r="DM141" s="39">
        <f t="shared" si="175"/>
        <v>6827230.780604231</v>
      </c>
      <c r="DN141" s="39">
        <f t="shared" si="176"/>
        <v>6490171.7917997725</v>
      </c>
      <c r="DO141" s="39">
        <f t="shared" si="177"/>
        <v>6352966.5198594015</v>
      </c>
      <c r="DP141" s="243">
        <f t="shared" si="178"/>
        <v>7532655.722150235</v>
      </c>
      <c r="DQ141" s="39">
        <f>DK141+Commerical!I141</f>
        <v>7388017.236384707</v>
      </c>
      <c r="DR141" s="39">
        <f>DL141+Commerical!J141</f>
        <v>8134134.628795093</v>
      </c>
      <c r="DS141" s="39">
        <f>DM141+Commerical!K141</f>
        <v>6828342.404196128</v>
      </c>
      <c r="DT141" s="39">
        <f>DN141+Commerical!L141</f>
        <v>6490798.058612109</v>
      </c>
      <c r="DU141" s="39">
        <f>DO141+Commerical!M141</f>
        <v>6353577.1300014295</v>
      </c>
      <c r="DV141" s="243">
        <f>DP141+Commerical!N141</f>
        <v>7533469.869006272</v>
      </c>
      <c r="DW141" s="138"/>
      <c r="DX141" s="39"/>
      <c r="DY141" s="38"/>
      <c r="DZ141" s="38"/>
      <c r="EA141" s="546"/>
      <c r="EB141" s="38"/>
      <c r="EC141" s="38"/>
      <c r="ED141" s="38"/>
    </row>
    <row r="142" spans="1:134" ht="12.75">
      <c r="A142" s="88" t="s">
        <v>638</v>
      </c>
      <c r="B142" s="29">
        <f>SUM(Commerical!C133:H141)*1000/SUM(Commerical!I133:N141)</f>
        <v>21.430791820584872</v>
      </c>
      <c r="C142" s="41">
        <v>637</v>
      </c>
      <c r="D142" s="397">
        <v>344</v>
      </c>
      <c r="E142" s="491"/>
      <c r="F142" s="491"/>
      <c r="G142" s="238"/>
      <c r="H142" s="39"/>
      <c r="I142" s="205"/>
      <c r="J142" s="205"/>
      <c r="K142" s="205"/>
      <c r="L142" s="216"/>
      <c r="M142" s="205"/>
      <c r="N142" s="205"/>
      <c r="O142" s="205"/>
      <c r="P142" s="205"/>
      <c r="Q142" s="205"/>
      <c r="R142" s="271">
        <v>661</v>
      </c>
      <c r="S142" s="205">
        <v>16433</v>
      </c>
      <c r="T142" s="205">
        <v>22331</v>
      </c>
      <c r="U142" s="205">
        <v>19209</v>
      </c>
      <c r="V142" s="397">
        <v>15976</v>
      </c>
      <c r="W142" s="397">
        <v>15806</v>
      </c>
      <c r="X142" s="216">
        <v>0</v>
      </c>
      <c r="Y142" s="205">
        <v>6404</v>
      </c>
      <c r="Z142" s="205">
        <v>6068</v>
      </c>
      <c r="AA142" s="205">
        <v>6104</v>
      </c>
      <c r="AB142" s="397">
        <v>4987</v>
      </c>
      <c r="AC142" s="397">
        <v>4573</v>
      </c>
      <c r="AD142" s="41">
        <v>459</v>
      </c>
      <c r="AE142" s="616"/>
      <c r="AF142" s="205"/>
      <c r="AG142" s="205"/>
      <c r="AH142" s="205"/>
      <c r="AI142" s="205"/>
      <c r="AJ142" s="216"/>
      <c r="AK142" s="205"/>
      <c r="AL142" s="205"/>
      <c r="AM142" s="41"/>
      <c r="AN142" s="41"/>
      <c r="AO142" s="41"/>
      <c r="AP142" s="498"/>
      <c r="AQ142" s="39"/>
      <c r="AR142" s="39"/>
      <c r="AS142" s="205"/>
      <c r="AT142" s="205"/>
      <c r="AU142" s="205"/>
      <c r="AV142" s="235"/>
      <c r="AW142" s="41">
        <f t="shared" si="164"/>
        <v>23474</v>
      </c>
      <c r="AX142" s="41">
        <f t="shared" si="162"/>
        <v>28743</v>
      </c>
      <c r="AY142" s="41">
        <f t="shared" si="163"/>
        <v>25313</v>
      </c>
      <c r="AZ142" s="41">
        <f t="shared" si="165"/>
        <v>20963</v>
      </c>
      <c r="BA142" s="41">
        <f t="shared" si="166"/>
        <v>20379</v>
      </c>
      <c r="BB142" s="237">
        <f t="shared" si="167"/>
        <v>1120</v>
      </c>
      <c r="BC142" s="41">
        <f t="shared" si="154"/>
        <v>2414810.9812521995</v>
      </c>
      <c r="BD142" s="41">
        <f t="shared" si="155"/>
        <v>2956842.1246541687</v>
      </c>
      <c r="BE142" s="41">
        <f t="shared" si="168"/>
        <v>2603992.092035312</v>
      </c>
      <c r="BF142" s="41">
        <f t="shared" si="169"/>
        <v>2156500.068160086</v>
      </c>
      <c r="BG142" s="41">
        <f t="shared" si="170"/>
        <v>2096422.9780582162</v>
      </c>
      <c r="BH142" s="237">
        <f t="shared" si="171"/>
        <v>115216.3371816675</v>
      </c>
      <c r="BI142" s="41"/>
      <c r="BJ142" s="41"/>
      <c r="BK142" s="41"/>
      <c r="BL142" s="286"/>
      <c r="BM142" s="41"/>
      <c r="BN142" s="216"/>
      <c r="BO142" s="205">
        <v>501</v>
      </c>
      <c r="BP142" s="205">
        <v>622</v>
      </c>
      <c r="BQ142" s="205">
        <v>568</v>
      </c>
      <c r="BR142" s="400">
        <v>203</v>
      </c>
      <c r="BS142" s="400">
        <v>91</v>
      </c>
      <c r="BT142" s="216">
        <v>0</v>
      </c>
      <c r="BU142" s="205">
        <v>1374</v>
      </c>
      <c r="BV142" s="205">
        <v>1374</v>
      </c>
      <c r="BW142" s="205">
        <v>1971</v>
      </c>
      <c r="BX142" s="401">
        <v>1406</v>
      </c>
      <c r="BY142" s="401">
        <v>1082</v>
      </c>
      <c r="BZ142" s="235">
        <v>2714</v>
      </c>
      <c r="CA142" s="41"/>
      <c r="CB142" s="41"/>
      <c r="CC142" s="205"/>
      <c r="CD142" s="205"/>
      <c r="CE142" s="205"/>
      <c r="CF142" s="216"/>
      <c r="CG142" s="205"/>
      <c r="CH142" s="205"/>
      <c r="CI142" s="39"/>
      <c r="CJ142" s="41"/>
      <c r="CK142" s="41"/>
      <c r="CL142" s="498"/>
      <c r="CM142" s="39"/>
      <c r="CN142" s="39"/>
      <c r="CO142" s="39"/>
      <c r="CP142" s="205"/>
      <c r="CQ142" s="205"/>
      <c r="CR142" s="282"/>
      <c r="CS142" s="41">
        <f t="shared" si="184"/>
        <v>1875</v>
      </c>
      <c r="CT142" s="41">
        <f t="shared" si="184"/>
        <v>1996</v>
      </c>
      <c r="CU142" s="41">
        <f t="shared" si="184"/>
        <v>2539</v>
      </c>
      <c r="CV142" s="41">
        <f t="shared" si="184"/>
        <v>1609</v>
      </c>
      <c r="CW142" s="41">
        <f t="shared" si="184"/>
        <v>1173</v>
      </c>
      <c r="CX142" s="237">
        <f t="shared" si="184"/>
        <v>2714</v>
      </c>
      <c r="CY142" s="41">
        <f>CS142*1000/0.45359237/$B142</f>
        <v>192884.4930496666</v>
      </c>
      <c r="CZ142" s="41">
        <f>CT142*1000/0.45359237/$B142</f>
        <v>205331.97233447173</v>
      </c>
      <c r="DA142" s="41">
        <f t="shared" si="185"/>
        <v>261191.3215216552</v>
      </c>
      <c r="DB142" s="41">
        <f t="shared" si="185"/>
        <v>165520.61296902056</v>
      </c>
      <c r="DC142" s="41">
        <f t="shared" si="185"/>
        <v>120668.53885187142</v>
      </c>
      <c r="DD142" s="237">
        <f t="shared" si="185"/>
        <v>279193.87420629075</v>
      </c>
      <c r="DE142" s="39">
        <f t="shared" si="159"/>
        <v>21599</v>
      </c>
      <c r="DF142" s="39">
        <f t="shared" si="179"/>
        <v>26747</v>
      </c>
      <c r="DG142" s="39">
        <f t="shared" si="180"/>
        <v>22774</v>
      </c>
      <c r="DH142" s="39">
        <f t="shared" si="181"/>
        <v>19354</v>
      </c>
      <c r="DI142" s="39">
        <f t="shared" si="182"/>
        <v>19206</v>
      </c>
      <c r="DJ142" s="243">
        <f t="shared" si="183"/>
        <v>-1594</v>
      </c>
      <c r="DK142" s="39">
        <f t="shared" si="149"/>
        <v>2221926.4882025328</v>
      </c>
      <c r="DL142" s="39">
        <f t="shared" si="174"/>
        <v>2751510.152319697</v>
      </c>
      <c r="DM142" s="39">
        <f t="shared" si="175"/>
        <v>2342800.770513657</v>
      </c>
      <c r="DN142" s="39">
        <f t="shared" si="176"/>
        <v>1990979.4551910653</v>
      </c>
      <c r="DO142" s="39">
        <f t="shared" si="177"/>
        <v>1975754.4392063448</v>
      </c>
      <c r="DP142" s="243">
        <f t="shared" si="178"/>
        <v>-163977.53702462325</v>
      </c>
      <c r="DQ142" s="39">
        <f>DK142+Commerical!I142</f>
        <v>2221926.4882025328</v>
      </c>
      <c r="DR142" s="39">
        <f>DL142+Commerical!J142</f>
        <v>2751510.152319697</v>
      </c>
      <c r="DS142" s="39">
        <f>DM142+Commerical!K142</f>
        <v>2342800.770513657</v>
      </c>
      <c r="DT142" s="39">
        <f>DN142+Commerical!L142</f>
        <v>1990979.4551910653</v>
      </c>
      <c r="DU142" s="39">
        <f>DO142+Commerical!M142</f>
        <v>1975754.4392063448</v>
      </c>
      <c r="DV142" s="243">
        <f>DP142+Commerical!N142</f>
        <v>-163977.53702462325</v>
      </c>
      <c r="DW142" s="138"/>
      <c r="DX142" s="39"/>
      <c r="DY142" s="39"/>
      <c r="DZ142" s="38"/>
      <c r="EA142" s="546"/>
      <c r="EB142" s="38"/>
      <c r="EC142" s="38"/>
      <c r="ED142" s="38"/>
    </row>
    <row r="143" spans="1:134" ht="12.75">
      <c r="A143" s="88" t="s">
        <v>720</v>
      </c>
      <c r="B143" s="29">
        <f>Commerical!B143</f>
        <v>9.574943029715758</v>
      </c>
      <c r="C143" s="41"/>
      <c r="E143" s="398"/>
      <c r="F143" s="398"/>
      <c r="G143" s="494"/>
      <c r="H143" s="401">
        <v>0</v>
      </c>
      <c r="I143" s="205">
        <v>2</v>
      </c>
      <c r="J143" s="400">
        <v>2</v>
      </c>
      <c r="K143" s="400">
        <v>54</v>
      </c>
      <c r="L143" s="494">
        <v>56</v>
      </c>
      <c r="M143" s="401"/>
      <c r="N143" s="205"/>
      <c r="O143" s="205"/>
      <c r="P143" s="205"/>
      <c r="Q143" s="205"/>
      <c r="R143" s="271">
        <v>101</v>
      </c>
      <c r="S143" s="205">
        <v>381</v>
      </c>
      <c r="T143" s="205">
        <v>672</v>
      </c>
      <c r="U143" s="205">
        <v>350</v>
      </c>
      <c r="V143" s="398">
        <v>409</v>
      </c>
      <c r="W143" s="398">
        <v>453</v>
      </c>
      <c r="X143" s="216">
        <v>241</v>
      </c>
      <c r="Y143" s="205"/>
      <c r="Z143" s="205"/>
      <c r="AA143" s="205"/>
      <c r="AD143" s="41"/>
      <c r="AE143" s="616"/>
      <c r="AF143" s="205"/>
      <c r="AG143" s="205"/>
      <c r="AH143" s="205"/>
      <c r="AI143" s="205"/>
      <c r="AJ143" s="216"/>
      <c r="AK143" s="205"/>
      <c r="AL143" s="205"/>
      <c r="AM143" s="41"/>
      <c r="AN143" s="41"/>
      <c r="AO143" s="41"/>
      <c r="AP143" s="498"/>
      <c r="AQ143" s="39"/>
      <c r="AR143" s="39"/>
      <c r="AS143" s="205"/>
      <c r="AT143" s="205"/>
      <c r="AU143" s="205"/>
      <c r="AV143" s="235"/>
      <c r="AW143" s="41">
        <f t="shared" si="164"/>
        <v>381</v>
      </c>
      <c r="AX143" s="41">
        <f t="shared" si="162"/>
        <v>674</v>
      </c>
      <c r="AY143" s="41">
        <f t="shared" si="163"/>
        <v>352</v>
      </c>
      <c r="AZ143" s="41">
        <f t="shared" si="165"/>
        <v>463</v>
      </c>
      <c r="BA143" s="41">
        <f t="shared" si="166"/>
        <v>509</v>
      </c>
      <c r="BB143" s="237">
        <f t="shared" si="167"/>
        <v>342</v>
      </c>
      <c r="BC143" s="41">
        <f t="shared" si="154"/>
        <v>87724.93124163462</v>
      </c>
      <c r="BD143" s="41">
        <f t="shared" si="155"/>
        <v>155187.93610724865</v>
      </c>
      <c r="BE143" s="41">
        <f t="shared" si="168"/>
        <v>81047.70550408238</v>
      </c>
      <c r="BF143" s="41">
        <f t="shared" si="169"/>
        <v>106605.36263747199</v>
      </c>
      <c r="BG143" s="41">
        <f t="shared" si="170"/>
        <v>117196.82415221003</v>
      </c>
      <c r="BH143" s="237">
        <f t="shared" si="171"/>
        <v>78745.21387044367</v>
      </c>
      <c r="BI143" s="41"/>
      <c r="BJ143" s="41"/>
      <c r="BK143" s="41"/>
      <c r="BL143" s="286"/>
      <c r="BM143" s="41"/>
      <c r="BN143" s="216"/>
      <c r="BO143" s="205"/>
      <c r="BP143" s="205"/>
      <c r="BQ143" s="205"/>
      <c r="BR143" s="205"/>
      <c r="BS143" s="205"/>
      <c r="BT143" s="216"/>
      <c r="BU143" s="205"/>
      <c r="BV143" s="205"/>
      <c r="BW143" s="205"/>
      <c r="BX143" s="205"/>
      <c r="BY143" s="205"/>
      <c r="BZ143" s="235"/>
      <c r="CA143" s="41"/>
      <c r="CB143" s="41"/>
      <c r="CC143" s="205"/>
      <c r="CD143" s="205"/>
      <c r="CE143" s="205"/>
      <c r="CF143" s="216"/>
      <c r="CG143" s="205"/>
      <c r="CH143" s="205"/>
      <c r="CI143" s="39"/>
      <c r="CJ143" s="41"/>
      <c r="CK143" s="41"/>
      <c r="CL143" s="498"/>
      <c r="CM143" s="39"/>
      <c r="CN143" s="39"/>
      <c r="CO143" s="39"/>
      <c r="CP143" s="205"/>
      <c r="CQ143" s="205"/>
      <c r="CR143" s="282"/>
      <c r="CS143" s="205"/>
      <c r="CT143" s="41"/>
      <c r="CU143" s="41"/>
      <c r="CV143" s="41"/>
      <c r="CW143" s="41"/>
      <c r="CX143" s="237"/>
      <c r="CY143" s="41"/>
      <c r="CZ143" s="41"/>
      <c r="DA143" s="39"/>
      <c r="DB143" s="41"/>
      <c r="DC143" s="41"/>
      <c r="DD143" s="237"/>
      <c r="DE143" s="39">
        <f t="shared" si="159"/>
        <v>381</v>
      </c>
      <c r="DF143" s="39">
        <f t="shared" si="179"/>
        <v>674</v>
      </c>
      <c r="DG143" s="39">
        <f t="shared" si="180"/>
        <v>352</v>
      </c>
      <c r="DH143" s="39">
        <f t="shared" si="181"/>
        <v>463</v>
      </c>
      <c r="DI143" s="39">
        <f t="shared" si="182"/>
        <v>509</v>
      </c>
      <c r="DJ143" s="243">
        <f t="shared" si="183"/>
        <v>342</v>
      </c>
      <c r="DK143" s="39">
        <f t="shared" si="149"/>
        <v>87724.93124163462</v>
      </c>
      <c r="DL143" s="39">
        <f t="shared" si="174"/>
        <v>155187.93610724865</v>
      </c>
      <c r="DM143" s="39">
        <f t="shared" si="175"/>
        <v>81047.70550408238</v>
      </c>
      <c r="DN143" s="39">
        <f t="shared" si="176"/>
        <v>106605.36263747199</v>
      </c>
      <c r="DO143" s="39">
        <f t="shared" si="177"/>
        <v>117196.82415221003</v>
      </c>
      <c r="DP143" s="243">
        <f t="shared" si="178"/>
        <v>78745.21387044367</v>
      </c>
      <c r="DQ143" s="39">
        <f>DK143+Commerical!I143</f>
        <v>87724.93124163462</v>
      </c>
      <c r="DR143" s="39">
        <f>DL143+Commerical!J143</f>
        <v>155187.93610724865</v>
      </c>
      <c r="DS143" s="39">
        <f>DM143+Commerical!K143</f>
        <v>81047.70550408238</v>
      </c>
      <c r="DT143" s="39">
        <f>DN143+Commerical!L143</f>
        <v>106605.36263747199</v>
      </c>
      <c r="DU143" s="39">
        <f>DO143+Commerical!M143</f>
        <v>117196.82415221003</v>
      </c>
      <c r="DV143" s="243">
        <f>DP143+Commerical!N143</f>
        <v>78745.21387044367</v>
      </c>
      <c r="DW143" s="39"/>
      <c r="DX143" s="39"/>
      <c r="DY143" s="38"/>
      <c r="DZ143" s="38"/>
      <c r="EA143" s="546"/>
      <c r="EB143" s="38"/>
      <c r="EC143" s="38"/>
      <c r="ED143" s="38"/>
    </row>
    <row r="144" spans="1:134" ht="12.75">
      <c r="A144" s="88" t="s">
        <v>699</v>
      </c>
      <c r="B144" s="29">
        <f>B143</f>
        <v>9.574943029715758</v>
      </c>
      <c r="C144" s="41">
        <v>565</v>
      </c>
      <c r="D144" s="41">
        <v>444</v>
      </c>
      <c r="E144" s="398">
        <v>372</v>
      </c>
      <c r="F144" s="398">
        <v>412</v>
      </c>
      <c r="G144" s="494"/>
      <c r="H144" s="401">
        <v>44</v>
      </c>
      <c r="I144" s="400">
        <v>58</v>
      </c>
      <c r="J144" s="400">
        <v>58</v>
      </c>
      <c r="K144" s="400">
        <v>87</v>
      </c>
      <c r="L144" s="494">
        <v>97</v>
      </c>
      <c r="M144" s="401">
        <v>52</v>
      </c>
      <c r="N144" s="205">
        <v>53</v>
      </c>
      <c r="O144" s="400">
        <v>135</v>
      </c>
      <c r="P144" s="400">
        <v>107</v>
      </c>
      <c r="Q144" s="398">
        <v>167</v>
      </c>
      <c r="R144" s="271">
        <f>413+28+96</f>
        <v>537</v>
      </c>
      <c r="S144" s="205">
        <v>276</v>
      </c>
      <c r="T144" s="205">
        <v>448</v>
      </c>
      <c r="U144" s="205">
        <v>437</v>
      </c>
      <c r="V144" s="398">
        <v>579</v>
      </c>
      <c r="W144" s="398">
        <v>475</v>
      </c>
      <c r="X144" s="216">
        <v>582</v>
      </c>
      <c r="Y144" s="205"/>
      <c r="AD144" s="41"/>
      <c r="AE144" s="616"/>
      <c r="AF144" s="205"/>
      <c r="AG144" s="205"/>
      <c r="AH144" s="205"/>
      <c r="AI144" s="205"/>
      <c r="AJ144" s="216"/>
      <c r="AK144" s="205"/>
      <c r="AL144" s="205"/>
      <c r="AM144" s="41"/>
      <c r="AN144" s="41"/>
      <c r="AO144" s="41"/>
      <c r="AP144" s="498"/>
      <c r="AQ144" s="39"/>
      <c r="AR144" s="39"/>
      <c r="AS144" s="205"/>
      <c r="AT144" s="205"/>
      <c r="AU144" s="205"/>
      <c r="AV144" s="235"/>
      <c r="AW144" s="41">
        <f t="shared" si="164"/>
        <v>937</v>
      </c>
      <c r="AX144" s="41">
        <f t="shared" si="162"/>
        <v>1003</v>
      </c>
      <c r="AY144" s="41">
        <f t="shared" si="163"/>
        <v>1002</v>
      </c>
      <c r="AZ144" s="41">
        <f t="shared" si="165"/>
        <v>1185</v>
      </c>
      <c r="BA144" s="41">
        <f t="shared" si="166"/>
        <v>739</v>
      </c>
      <c r="BB144" s="237">
        <f t="shared" si="167"/>
        <v>1119</v>
      </c>
      <c r="BC144" s="41">
        <f t="shared" si="154"/>
        <v>215743.46607194655</v>
      </c>
      <c r="BD144" s="41">
        <f t="shared" si="155"/>
        <v>230939.910853962</v>
      </c>
      <c r="BE144" s="41">
        <f t="shared" si="168"/>
        <v>230709.66169059815</v>
      </c>
      <c r="BF144" s="41">
        <f t="shared" si="169"/>
        <v>272845.2585861864</v>
      </c>
      <c r="BG144" s="41">
        <f t="shared" si="170"/>
        <v>170154.13172590022</v>
      </c>
      <c r="BH144" s="237">
        <f t="shared" si="171"/>
        <v>257648.81380417096</v>
      </c>
      <c r="BI144" s="41"/>
      <c r="BJ144" s="41"/>
      <c r="BK144" s="41"/>
      <c r="BL144" s="286"/>
      <c r="BM144" s="41"/>
      <c r="BN144" s="216"/>
      <c r="BO144" s="205"/>
      <c r="BP144" s="205"/>
      <c r="BQ144" s="205"/>
      <c r="BR144" s="205"/>
      <c r="BS144" s="205"/>
      <c r="BT144" s="216"/>
      <c r="BU144" s="205"/>
      <c r="BV144" s="205"/>
      <c r="BW144" s="205"/>
      <c r="BX144" s="205"/>
      <c r="BY144" s="205"/>
      <c r="BZ144" s="235"/>
      <c r="CA144" s="41"/>
      <c r="CB144" s="41"/>
      <c r="CC144" s="205"/>
      <c r="CD144" s="205"/>
      <c r="CE144" s="205"/>
      <c r="CF144" s="216"/>
      <c r="CG144" s="205"/>
      <c r="CH144" s="205"/>
      <c r="CI144" s="39"/>
      <c r="CJ144" s="41"/>
      <c r="CK144" s="41"/>
      <c r="CL144" s="498"/>
      <c r="CM144" s="39"/>
      <c r="CN144" s="39"/>
      <c r="CO144" s="39"/>
      <c r="CP144" s="205"/>
      <c r="CQ144" s="205"/>
      <c r="CR144" s="282"/>
      <c r="CS144" s="205"/>
      <c r="CT144" s="41"/>
      <c r="CU144" s="41"/>
      <c r="CV144" s="41"/>
      <c r="CW144" s="41"/>
      <c r="CX144" s="237"/>
      <c r="CY144" s="41"/>
      <c r="CZ144" s="41"/>
      <c r="DA144" s="39"/>
      <c r="DB144" s="41"/>
      <c r="DC144" s="41"/>
      <c r="DD144" s="237"/>
      <c r="DE144" s="39">
        <f t="shared" si="159"/>
        <v>937</v>
      </c>
      <c r="DF144" s="39">
        <f t="shared" si="179"/>
        <v>1003</v>
      </c>
      <c r="DG144" s="39">
        <f t="shared" si="180"/>
        <v>1002</v>
      </c>
      <c r="DH144" s="39">
        <f t="shared" si="181"/>
        <v>1185</v>
      </c>
      <c r="DI144" s="39">
        <f t="shared" si="182"/>
        <v>739</v>
      </c>
      <c r="DJ144" s="243">
        <f t="shared" si="183"/>
        <v>1119</v>
      </c>
      <c r="DK144" s="39">
        <f t="shared" si="149"/>
        <v>215743.46607194655</v>
      </c>
      <c r="DL144" s="39">
        <f t="shared" si="174"/>
        <v>230939.910853962</v>
      </c>
      <c r="DM144" s="39">
        <f t="shared" si="175"/>
        <v>230709.66169059815</v>
      </c>
      <c r="DN144" s="39">
        <f t="shared" si="176"/>
        <v>272845.2585861864</v>
      </c>
      <c r="DO144" s="39">
        <f t="shared" si="177"/>
        <v>170154.13172590022</v>
      </c>
      <c r="DP144" s="243">
        <f t="shared" si="178"/>
        <v>257648.81380417096</v>
      </c>
      <c r="DQ144" s="39">
        <f>DK144+Commerical!I144</f>
        <v>215743.46607194655</v>
      </c>
      <c r="DR144" s="39">
        <f>DL144+Commerical!J144</f>
        <v>230939.910853962</v>
      </c>
      <c r="DS144" s="39">
        <f>DM144+Commerical!K144</f>
        <v>230709.66169059815</v>
      </c>
      <c r="DT144" s="39">
        <f>DN144+Commerical!L144</f>
        <v>272845.2585861864</v>
      </c>
      <c r="DU144" s="39">
        <f>DO144+Commerical!M144</f>
        <v>170154.13172590022</v>
      </c>
      <c r="DV144" s="243">
        <f>DP144+Commerical!N144</f>
        <v>257648.81380417096</v>
      </c>
      <c r="DW144" s="39"/>
      <c r="DX144" s="39"/>
      <c r="DY144" s="38"/>
      <c r="DZ144" s="38"/>
      <c r="EA144" s="546"/>
      <c r="EB144" s="38"/>
      <c r="EC144" s="38"/>
      <c r="ED144" s="38"/>
    </row>
    <row r="145" spans="1:134" ht="12.75">
      <c r="A145" s="88" t="s">
        <v>5</v>
      </c>
      <c r="B145" s="29">
        <f>Commerical!B145</f>
        <v>26.061</v>
      </c>
      <c r="C145" s="41">
        <v>2909</v>
      </c>
      <c r="D145" s="397">
        <v>2889</v>
      </c>
      <c r="E145" s="397">
        <v>2194</v>
      </c>
      <c r="F145" s="397">
        <v>2848</v>
      </c>
      <c r="G145" s="495">
        <f>2737</f>
        <v>2737</v>
      </c>
      <c r="H145" s="401"/>
      <c r="J145" s="205"/>
      <c r="K145" s="205"/>
      <c r="L145" s="216"/>
      <c r="M145" s="205">
        <v>1</v>
      </c>
      <c r="N145" s="205">
        <v>14</v>
      </c>
      <c r="O145" s="205">
        <v>47</v>
      </c>
      <c r="P145" s="205">
        <v>0</v>
      </c>
      <c r="Q145" s="398">
        <v>68</v>
      </c>
      <c r="R145" s="271">
        <f>2733+8</f>
        <v>2741</v>
      </c>
      <c r="S145" s="205">
        <v>643</v>
      </c>
      <c r="T145" s="205">
        <v>663</v>
      </c>
      <c r="U145" s="205">
        <v>895</v>
      </c>
      <c r="V145" s="398">
        <v>256</v>
      </c>
      <c r="W145" s="398">
        <v>278</v>
      </c>
      <c r="X145" s="216"/>
      <c r="Y145" s="205"/>
      <c r="AB145" s="205"/>
      <c r="AC145" s="38"/>
      <c r="AD145" s="41"/>
      <c r="AE145" s="616"/>
      <c r="AF145" s="205"/>
      <c r="AG145" s="205"/>
      <c r="AH145" s="205"/>
      <c r="AI145" s="205"/>
      <c r="AJ145" s="216"/>
      <c r="AK145" s="205"/>
      <c r="AL145" s="205"/>
      <c r="AM145" s="41"/>
      <c r="AN145" s="41"/>
      <c r="AO145" s="41"/>
      <c r="AP145" s="498"/>
      <c r="AQ145" s="39"/>
      <c r="AR145" s="39"/>
      <c r="AS145" s="205"/>
      <c r="AT145" s="205"/>
      <c r="AU145" s="205"/>
      <c r="AV145" s="235"/>
      <c r="AW145" s="41">
        <f t="shared" si="164"/>
        <v>3553</v>
      </c>
      <c r="AX145" s="41">
        <f t="shared" si="162"/>
        <v>3566</v>
      </c>
      <c r="AY145" s="41">
        <f t="shared" si="163"/>
        <v>3136</v>
      </c>
      <c r="AZ145" s="41">
        <f t="shared" si="165"/>
        <v>3104</v>
      </c>
      <c r="BA145" s="41">
        <f t="shared" si="166"/>
        <v>3083</v>
      </c>
      <c r="BB145" s="237">
        <f t="shared" si="167"/>
        <v>2741</v>
      </c>
      <c r="BC145" s="41">
        <f t="shared" si="154"/>
        <v>300564.9888887111</v>
      </c>
      <c r="BD145" s="41">
        <f t="shared" si="155"/>
        <v>301664.72006111563</v>
      </c>
      <c r="BE145" s="41">
        <f t="shared" si="168"/>
        <v>265288.996666197</v>
      </c>
      <c r="BF145" s="41">
        <f t="shared" si="169"/>
        <v>262581.96608797053</v>
      </c>
      <c r="BG145" s="41">
        <f t="shared" si="170"/>
        <v>260805.47727100938</v>
      </c>
      <c r="BH145" s="237">
        <f t="shared" si="171"/>
        <v>231874.08796621364</v>
      </c>
      <c r="BI145" s="41"/>
      <c r="BJ145" s="41"/>
      <c r="BK145" s="41"/>
      <c r="BL145" s="286"/>
      <c r="BM145" s="41"/>
      <c r="BN145" s="216"/>
      <c r="BO145" s="205"/>
      <c r="BR145" s="205"/>
      <c r="BS145" s="205"/>
      <c r="BT145" s="216"/>
      <c r="BU145" s="205"/>
      <c r="BV145" s="205"/>
      <c r="BW145" s="205"/>
      <c r="BX145" s="205"/>
      <c r="BY145" s="205"/>
      <c r="BZ145" s="235"/>
      <c r="CA145" s="41"/>
      <c r="CB145" s="41"/>
      <c r="CC145" s="205"/>
      <c r="CD145" s="205"/>
      <c r="CE145" s="205"/>
      <c r="CF145" s="216"/>
      <c r="CG145" s="205"/>
      <c r="CH145" s="205"/>
      <c r="CI145" s="39"/>
      <c r="CJ145" s="41"/>
      <c r="CK145" s="41"/>
      <c r="CL145" s="498"/>
      <c r="CM145" s="39"/>
      <c r="CN145" s="39"/>
      <c r="CO145" s="39"/>
      <c r="CP145" s="205"/>
      <c r="CQ145" s="205"/>
      <c r="CR145" s="282"/>
      <c r="CS145" s="205"/>
      <c r="CT145" s="41"/>
      <c r="CU145" s="41"/>
      <c r="CV145" s="41"/>
      <c r="CW145" s="41"/>
      <c r="CX145" s="237"/>
      <c r="CY145" s="41"/>
      <c r="CZ145" s="41"/>
      <c r="DA145" s="39"/>
      <c r="DB145" s="41"/>
      <c r="DC145" s="41"/>
      <c r="DD145" s="237"/>
      <c r="DE145" s="39">
        <f t="shared" si="159"/>
        <v>3553</v>
      </c>
      <c r="DF145" s="39">
        <f t="shared" si="179"/>
        <v>3566</v>
      </c>
      <c r="DG145" s="39">
        <f t="shared" si="180"/>
        <v>3136</v>
      </c>
      <c r="DH145" s="39">
        <f t="shared" si="181"/>
        <v>3104</v>
      </c>
      <c r="DI145" s="39">
        <f t="shared" si="182"/>
        <v>3083</v>
      </c>
      <c r="DJ145" s="243">
        <f t="shared" si="183"/>
        <v>2741</v>
      </c>
      <c r="DK145" s="39">
        <f t="shared" si="149"/>
        <v>300564.9888887111</v>
      </c>
      <c r="DL145" s="39">
        <f t="shared" si="174"/>
        <v>301664.72006111563</v>
      </c>
      <c r="DM145" s="39">
        <f t="shared" si="175"/>
        <v>265288.996666197</v>
      </c>
      <c r="DN145" s="39">
        <f t="shared" si="176"/>
        <v>262581.96608797053</v>
      </c>
      <c r="DO145" s="39">
        <f t="shared" si="177"/>
        <v>260805.47727100938</v>
      </c>
      <c r="DP145" s="243">
        <f t="shared" si="178"/>
        <v>231874.08796621364</v>
      </c>
      <c r="DQ145" s="39">
        <f>DK145+Commerical!I145</f>
        <v>668547.7984508921</v>
      </c>
      <c r="DR145" s="39">
        <f>DL145+Commerical!J145</f>
        <v>697812.2201570445</v>
      </c>
      <c r="DS145" s="39">
        <f>DM145+Commerical!K145</f>
        <v>625098.6739617728</v>
      </c>
      <c r="DT145" s="39">
        <f>DN145+Commerical!L145</f>
        <v>629029.9151306013</v>
      </c>
      <c r="DU145" s="39">
        <f>DO145+Commerical!M145</f>
        <v>645556.6380092773</v>
      </c>
      <c r="DV145" s="243">
        <f>DP145+Commerical!N145</f>
        <v>590877.9634890255</v>
      </c>
      <c r="DW145" s="39"/>
      <c r="DX145" s="39"/>
      <c r="DY145" s="38"/>
      <c r="DZ145" s="38"/>
      <c r="EA145" s="546"/>
      <c r="EB145" s="38"/>
      <c r="EC145" s="38"/>
      <c r="ED145" s="38"/>
    </row>
    <row r="146" spans="1:134" ht="12.75">
      <c r="A146" s="88" t="s">
        <v>281</v>
      </c>
      <c r="B146" s="29">
        <f>Commerical!B146</f>
        <v>9</v>
      </c>
      <c r="C146" s="41"/>
      <c r="D146" s="397"/>
      <c r="E146" s="398"/>
      <c r="F146" s="398"/>
      <c r="G146" s="494"/>
      <c r="H146" s="401">
        <v>63</v>
      </c>
      <c r="I146" s="401">
        <v>116</v>
      </c>
      <c r="J146" s="400">
        <v>53</v>
      </c>
      <c r="K146" s="400">
        <v>84</v>
      </c>
      <c r="L146" s="494">
        <v>26</v>
      </c>
      <c r="M146" s="401"/>
      <c r="N146" s="205"/>
      <c r="O146" s="205"/>
      <c r="P146" s="205"/>
      <c r="Q146" s="205"/>
      <c r="R146" s="271">
        <v>513</v>
      </c>
      <c r="S146" s="205">
        <v>36</v>
      </c>
      <c r="T146" s="205">
        <v>66</v>
      </c>
      <c r="U146" s="205">
        <v>93</v>
      </c>
      <c r="V146" s="398">
        <v>305</v>
      </c>
      <c r="W146" s="398">
        <v>540</v>
      </c>
      <c r="X146" s="216">
        <v>820</v>
      </c>
      <c r="Y146" s="205"/>
      <c r="AB146" s="205"/>
      <c r="AC146" s="38"/>
      <c r="AD146" s="41"/>
      <c r="AE146" s="616"/>
      <c r="AF146" s="205"/>
      <c r="AG146" s="205"/>
      <c r="AH146" s="205"/>
      <c r="AI146" s="205"/>
      <c r="AJ146" s="216"/>
      <c r="AK146" s="205"/>
      <c r="AL146" s="205"/>
      <c r="AM146" s="41"/>
      <c r="AN146" s="41"/>
      <c r="AO146" s="41"/>
      <c r="AP146" s="498"/>
      <c r="AQ146" s="39"/>
      <c r="AR146" s="39"/>
      <c r="AS146" s="205"/>
      <c r="AT146" s="205"/>
      <c r="AU146" s="205"/>
      <c r="AV146" s="235"/>
      <c r="AW146" s="41">
        <f t="shared" si="164"/>
        <v>99</v>
      </c>
      <c r="AX146" s="41">
        <f t="shared" si="162"/>
        <v>182</v>
      </c>
      <c r="AY146" s="41">
        <f t="shared" si="163"/>
        <v>146</v>
      </c>
      <c r="AZ146" s="41">
        <f t="shared" si="165"/>
        <v>389</v>
      </c>
      <c r="BA146" s="41">
        <f t="shared" si="166"/>
        <v>566</v>
      </c>
      <c r="BB146" s="237">
        <f t="shared" si="167"/>
        <v>1333</v>
      </c>
      <c r="BC146" s="41">
        <f t="shared" si="154"/>
        <v>24250.848840336534</v>
      </c>
      <c r="BD146" s="41">
        <f t="shared" si="155"/>
        <v>44582.36857516413</v>
      </c>
      <c r="BE146" s="41">
        <f t="shared" si="168"/>
        <v>35763.87808776903</v>
      </c>
      <c r="BF146" s="41">
        <f t="shared" si="169"/>
        <v>95288.68887768597</v>
      </c>
      <c r="BG146" s="41">
        <f t="shared" si="170"/>
        <v>138646.26710737858</v>
      </c>
      <c r="BH146" s="237">
        <f t="shared" si="171"/>
        <v>326529.10610271315</v>
      </c>
      <c r="BI146" s="41"/>
      <c r="BJ146" s="41"/>
      <c r="BK146" s="41"/>
      <c r="BL146" s="286"/>
      <c r="BM146" s="41"/>
      <c r="BN146" s="216"/>
      <c r="BO146" s="205"/>
      <c r="BP146" s="205"/>
      <c r="BQ146" s="205"/>
      <c r="BR146" s="205"/>
      <c r="BS146" s="205"/>
      <c r="BT146" s="216"/>
      <c r="BU146" s="205"/>
      <c r="BV146" s="205"/>
      <c r="BW146" s="205"/>
      <c r="BX146" s="205"/>
      <c r="BY146" s="205"/>
      <c r="BZ146" s="235"/>
      <c r="CA146" s="41"/>
      <c r="CB146" s="41"/>
      <c r="CC146" s="205"/>
      <c r="CD146" s="205"/>
      <c r="CE146" s="205"/>
      <c r="CF146" s="216"/>
      <c r="CG146" s="205"/>
      <c r="CH146" s="205"/>
      <c r="CI146" s="39"/>
      <c r="CJ146" s="41"/>
      <c r="CK146" s="41"/>
      <c r="CL146" s="498"/>
      <c r="CM146" s="39"/>
      <c r="CN146" s="39"/>
      <c r="CO146" s="39"/>
      <c r="CP146" s="205"/>
      <c r="CQ146" s="205"/>
      <c r="CR146" s="282"/>
      <c r="CS146" s="205"/>
      <c r="CT146" s="41"/>
      <c r="CU146" s="41"/>
      <c r="CV146" s="41"/>
      <c r="CW146" s="41"/>
      <c r="CX146" s="237"/>
      <c r="CY146" s="41"/>
      <c r="CZ146" s="41"/>
      <c r="DA146" s="39"/>
      <c r="DB146" s="41"/>
      <c r="DC146" s="41"/>
      <c r="DD146" s="237"/>
      <c r="DE146" s="39">
        <f t="shared" si="159"/>
        <v>99</v>
      </c>
      <c r="DF146" s="39">
        <f t="shared" si="179"/>
        <v>182</v>
      </c>
      <c r="DG146" s="39">
        <f t="shared" si="180"/>
        <v>146</v>
      </c>
      <c r="DH146" s="39">
        <f t="shared" si="181"/>
        <v>389</v>
      </c>
      <c r="DI146" s="39">
        <f t="shared" si="182"/>
        <v>566</v>
      </c>
      <c r="DJ146" s="243">
        <f t="shared" si="183"/>
        <v>1333</v>
      </c>
      <c r="DK146" s="39">
        <f t="shared" si="149"/>
        <v>24250.848840336534</v>
      </c>
      <c r="DL146" s="39">
        <f t="shared" si="174"/>
        <v>44582.36857516413</v>
      </c>
      <c r="DM146" s="39">
        <f t="shared" si="175"/>
        <v>35763.87808776903</v>
      </c>
      <c r="DN146" s="39">
        <f t="shared" si="176"/>
        <v>95288.68887768597</v>
      </c>
      <c r="DO146" s="39">
        <f t="shared" si="177"/>
        <v>138646.26710737858</v>
      </c>
      <c r="DP146" s="243">
        <f t="shared" si="178"/>
        <v>326529.10610271315</v>
      </c>
      <c r="DQ146" s="39">
        <f>DK146+Commerical!I146</f>
        <v>24250.848840336534</v>
      </c>
      <c r="DR146" s="39">
        <f>DL146+Commerical!J146</f>
        <v>45249.035241830796</v>
      </c>
      <c r="DS146" s="39">
        <f>DM146+Commerical!K146</f>
        <v>43986.10030999125</v>
      </c>
      <c r="DT146" s="39">
        <f>DN146+Commerical!L146</f>
        <v>107399.79998879708</v>
      </c>
      <c r="DU146" s="39">
        <f>DO146+Commerical!M146</f>
        <v>154535.15599626745</v>
      </c>
      <c r="DV146" s="243">
        <f>DP146+Commerical!N146</f>
        <v>346417.994991602</v>
      </c>
      <c r="DW146" s="39"/>
      <c r="DX146" s="39"/>
      <c r="DY146" s="38"/>
      <c r="DZ146" s="38"/>
      <c r="EA146" s="546"/>
      <c r="EB146" s="38"/>
      <c r="EC146" s="38"/>
      <c r="ED146" s="38"/>
    </row>
    <row r="147" spans="1:134" ht="12.75">
      <c r="A147" s="88" t="s">
        <v>282</v>
      </c>
      <c r="B147" s="29">
        <f>Commerical!B147</f>
        <v>1.0420376080266667</v>
      </c>
      <c r="C147" s="41"/>
      <c r="D147" s="397"/>
      <c r="E147" s="398"/>
      <c r="F147" s="398"/>
      <c r="G147" s="494"/>
      <c r="H147" s="401"/>
      <c r="I147" s="205"/>
      <c r="J147" s="205"/>
      <c r="K147" s="205"/>
      <c r="L147" s="216"/>
      <c r="M147" s="205"/>
      <c r="N147" s="205"/>
      <c r="O147" s="205"/>
      <c r="P147" s="205"/>
      <c r="Q147" s="205"/>
      <c r="R147" s="271"/>
      <c r="S147" s="205">
        <v>1620</v>
      </c>
      <c r="T147" s="205">
        <v>1641</v>
      </c>
      <c r="U147" s="205">
        <v>1206</v>
      </c>
      <c r="V147" s="397">
        <v>1111</v>
      </c>
      <c r="W147" s="397">
        <v>1231</v>
      </c>
      <c r="X147" s="216">
        <v>1585</v>
      </c>
      <c r="Y147" s="205"/>
      <c r="Z147" s="205"/>
      <c r="AA147" s="205"/>
      <c r="AB147" s="205"/>
      <c r="AC147" s="38"/>
      <c r="AD147" s="41"/>
      <c r="AE147" s="616"/>
      <c r="AF147" s="205"/>
      <c r="AG147" s="205"/>
      <c r="AH147" s="205"/>
      <c r="AI147" s="205"/>
      <c r="AJ147" s="216"/>
      <c r="AK147" s="205"/>
      <c r="AL147" s="205"/>
      <c r="AM147" s="41"/>
      <c r="AN147" s="41"/>
      <c r="AO147" s="41"/>
      <c r="AP147" s="498"/>
      <c r="AQ147" s="39"/>
      <c r="AR147" s="39"/>
      <c r="AS147" s="205"/>
      <c r="AT147" s="205"/>
      <c r="AU147" s="205"/>
      <c r="AV147" s="235"/>
      <c r="AW147" s="41">
        <f t="shared" si="164"/>
        <v>1620</v>
      </c>
      <c r="AX147" s="41">
        <f t="shared" si="162"/>
        <v>1641</v>
      </c>
      <c r="AY147" s="41">
        <f t="shared" si="163"/>
        <v>1206</v>
      </c>
      <c r="AZ147" s="41">
        <f t="shared" si="165"/>
        <v>1111</v>
      </c>
      <c r="BA147" s="41">
        <f t="shared" si="166"/>
        <v>1231</v>
      </c>
      <c r="BB147" s="237">
        <f t="shared" si="167"/>
        <v>1585</v>
      </c>
      <c r="BC147" s="41">
        <f t="shared" si="154"/>
        <v>3427408.58860021</v>
      </c>
      <c r="BD147" s="41">
        <f t="shared" si="155"/>
        <v>3471837.959193176</v>
      </c>
      <c r="BE147" s="41">
        <f t="shared" si="168"/>
        <v>2551515.282624601</v>
      </c>
      <c r="BF147" s="41">
        <f t="shared" si="169"/>
        <v>2350525.27279928</v>
      </c>
      <c r="BG147" s="41">
        <f t="shared" si="170"/>
        <v>2604407.3904733695</v>
      </c>
      <c r="BH147" s="237">
        <f t="shared" si="171"/>
        <v>3353359.637611934</v>
      </c>
      <c r="BI147" s="41"/>
      <c r="BJ147" s="41"/>
      <c r="BK147" s="41"/>
      <c r="BL147" s="286"/>
      <c r="BM147" s="41"/>
      <c r="BN147" s="216"/>
      <c r="BO147" s="205"/>
      <c r="BP147" s="205"/>
      <c r="BQ147" s="205"/>
      <c r="BR147" s="205"/>
      <c r="BS147" s="205"/>
      <c r="BT147" s="216"/>
      <c r="BU147" s="205"/>
      <c r="BV147" s="205"/>
      <c r="BW147" s="205"/>
      <c r="BX147" s="205"/>
      <c r="BY147" s="205"/>
      <c r="BZ147" s="235"/>
      <c r="CA147" s="41"/>
      <c r="CB147" s="41"/>
      <c r="CC147" s="205"/>
      <c r="CD147" s="205"/>
      <c r="CE147" s="205"/>
      <c r="CF147" s="216"/>
      <c r="CG147" s="205"/>
      <c r="CH147" s="205"/>
      <c r="CI147" s="39"/>
      <c r="CJ147" s="41"/>
      <c r="CK147" s="41"/>
      <c r="CL147" s="498"/>
      <c r="CM147" s="39"/>
      <c r="CN147" s="39"/>
      <c r="CO147" s="39"/>
      <c r="CP147" s="205"/>
      <c r="CQ147" s="205"/>
      <c r="CR147" s="282"/>
      <c r="CS147" s="205"/>
      <c r="CT147" s="41"/>
      <c r="CU147" s="41"/>
      <c r="CV147" s="41"/>
      <c r="CW147" s="41"/>
      <c r="CX147" s="237"/>
      <c r="CY147" s="41"/>
      <c r="CZ147" s="41"/>
      <c r="DA147" s="39"/>
      <c r="DB147" s="41"/>
      <c r="DC147" s="41"/>
      <c r="DD147" s="237"/>
      <c r="DE147" s="39">
        <f t="shared" si="159"/>
        <v>1620</v>
      </c>
      <c r="DF147" s="39">
        <f t="shared" si="179"/>
        <v>1641</v>
      </c>
      <c r="DG147" s="39">
        <f t="shared" si="180"/>
        <v>1206</v>
      </c>
      <c r="DH147" s="39">
        <f t="shared" si="181"/>
        <v>1111</v>
      </c>
      <c r="DI147" s="39">
        <f t="shared" si="182"/>
        <v>1231</v>
      </c>
      <c r="DJ147" s="243">
        <f t="shared" si="183"/>
        <v>1585</v>
      </c>
      <c r="DK147" s="39">
        <f t="shared" si="149"/>
        <v>3427408.58860021</v>
      </c>
      <c r="DL147" s="39">
        <f t="shared" si="174"/>
        <v>3471837.959193176</v>
      </c>
      <c r="DM147" s="39">
        <f t="shared" si="175"/>
        <v>2551515.282624601</v>
      </c>
      <c r="DN147" s="39">
        <f t="shared" si="176"/>
        <v>2350525.27279928</v>
      </c>
      <c r="DO147" s="39">
        <f t="shared" si="177"/>
        <v>2604407.3904733695</v>
      </c>
      <c r="DP147" s="243">
        <f t="shared" si="178"/>
        <v>3353359.637611934</v>
      </c>
      <c r="DQ147" s="39">
        <f>DK147+Commerical!I147</f>
        <v>4938870.351465581</v>
      </c>
      <c r="DR147" s="213">
        <f>DL147+Commerical!J147</f>
        <v>5156038.209243161</v>
      </c>
      <c r="DS147" s="39">
        <f>DM147+Commerical!K147</f>
        <v>4217482.0256939875</v>
      </c>
      <c r="DT147" s="39">
        <f>DN147+Commerical!L147</f>
        <v>4454096.183403022</v>
      </c>
      <c r="DU147" s="39">
        <f>DO147+Commerical!M147</f>
        <v>3832769.966008401</v>
      </c>
      <c r="DV147" s="243">
        <f>DP147+Commerical!N147</f>
        <v>5026043.988516278</v>
      </c>
      <c r="DW147" s="39"/>
      <c r="DX147" s="39"/>
      <c r="DY147" s="38"/>
      <c r="DZ147" s="38"/>
      <c r="EA147" s="546"/>
      <c r="EB147" s="38"/>
      <c r="EC147" s="38"/>
      <c r="ED147" s="38"/>
    </row>
    <row r="148" spans="1:134" ht="12.75">
      <c r="A148" s="88" t="s">
        <v>283</v>
      </c>
      <c r="B148" s="29">
        <f>'Ave weights'!Q116</f>
        <v>0.9572726914026904</v>
      </c>
      <c r="C148" s="41">
        <v>55103</v>
      </c>
      <c r="D148" s="41">
        <v>56515</v>
      </c>
      <c r="E148" s="490">
        <v>56048</v>
      </c>
      <c r="F148" s="490">
        <v>62659</v>
      </c>
      <c r="G148" s="235"/>
      <c r="H148" s="41">
        <v>6488</v>
      </c>
      <c r="I148" s="205">
        <v>5954</v>
      </c>
      <c r="J148" s="400">
        <v>4572</v>
      </c>
      <c r="K148" s="400">
        <v>6350</v>
      </c>
      <c r="L148" s="494">
        <f>31+6756</f>
        <v>6787</v>
      </c>
      <c r="M148" s="401"/>
      <c r="N148" s="401"/>
      <c r="O148" s="401"/>
      <c r="Q148" s="397">
        <v>9687</v>
      </c>
      <c r="R148" s="271">
        <f>59330+1735+4731+72</f>
        <v>65868</v>
      </c>
      <c r="S148" s="205">
        <v>61321</v>
      </c>
      <c r="T148" s="205">
        <v>60570</v>
      </c>
      <c r="U148" s="205">
        <v>64588</v>
      </c>
      <c r="V148" s="397">
        <f>1370+64120</f>
        <v>65490</v>
      </c>
      <c r="W148" s="397">
        <f>1848+71475</f>
        <v>73323</v>
      </c>
      <c r="X148" s="216">
        <f>1464+84548</f>
        <v>86012</v>
      </c>
      <c r="Y148" s="205"/>
      <c r="Z148" s="205"/>
      <c r="AA148" s="205"/>
      <c r="AB148" s="205"/>
      <c r="AC148" s="38"/>
      <c r="AD148" s="41"/>
      <c r="AE148" s="616"/>
      <c r="AF148" s="205"/>
      <c r="AG148" s="205"/>
      <c r="AH148" s="205"/>
      <c r="AI148" s="205"/>
      <c r="AJ148" s="216"/>
      <c r="AK148" s="205"/>
      <c r="AL148" s="205"/>
      <c r="AM148" s="41"/>
      <c r="AN148" s="41"/>
      <c r="AO148" s="41"/>
      <c r="AP148" s="498"/>
      <c r="AQ148" s="39"/>
      <c r="AR148" s="39"/>
      <c r="AS148" s="205"/>
      <c r="AT148" s="205"/>
      <c r="AU148" s="205"/>
      <c r="AV148" s="235"/>
      <c r="AW148" s="41">
        <f t="shared" si="164"/>
        <v>122912</v>
      </c>
      <c r="AX148" s="41">
        <f t="shared" si="162"/>
        <v>123039</v>
      </c>
      <c r="AY148" s="41">
        <f t="shared" si="163"/>
        <v>125208</v>
      </c>
      <c r="AZ148" s="41">
        <f t="shared" si="165"/>
        <v>134499</v>
      </c>
      <c r="BA148" s="41">
        <f t="shared" si="166"/>
        <v>89797</v>
      </c>
      <c r="BB148" s="237">
        <f t="shared" si="167"/>
        <v>151880</v>
      </c>
      <c r="BC148" s="41">
        <f t="shared" si="154"/>
        <v>283069367.93487555</v>
      </c>
      <c r="BD148" s="41">
        <f t="shared" si="155"/>
        <v>283361852.0676513</v>
      </c>
      <c r="BE148" s="41">
        <f t="shared" si="168"/>
        <v>288357112.5715137</v>
      </c>
      <c r="BF148" s="41">
        <f t="shared" si="169"/>
        <v>309754514.7574917</v>
      </c>
      <c r="BG148" s="41">
        <f t="shared" si="170"/>
        <v>206804706.06977364</v>
      </c>
      <c r="BH148" s="237">
        <f t="shared" si="171"/>
        <v>349783386.5037498</v>
      </c>
      <c r="BI148" s="41">
        <v>23328</v>
      </c>
      <c r="BJ148" s="41">
        <v>32385</v>
      </c>
      <c r="BK148" s="41">
        <v>23573</v>
      </c>
      <c r="BL148" s="401">
        <v>20713</v>
      </c>
      <c r="BM148" s="401">
        <v>14707</v>
      </c>
      <c r="BN148" s="216">
        <v>70798</v>
      </c>
      <c r="BO148" s="205">
        <v>87907</v>
      </c>
      <c r="BP148" s="205">
        <v>29834</v>
      </c>
      <c r="BQ148" s="205">
        <v>30105</v>
      </c>
      <c r="BR148" s="401">
        <v>15542</v>
      </c>
      <c r="BS148" s="401">
        <v>12187</v>
      </c>
      <c r="BT148" s="216">
        <v>12470</v>
      </c>
      <c r="BU148" s="205"/>
      <c r="BV148" s="205"/>
      <c r="BW148" s="205"/>
      <c r="BX148" s="205"/>
      <c r="BY148" s="205"/>
      <c r="BZ148" s="235"/>
      <c r="CA148" s="41"/>
      <c r="CB148" s="41"/>
      <c r="CC148" s="205"/>
      <c r="CD148" s="205"/>
      <c r="CE148" s="205"/>
      <c r="CF148" s="216"/>
      <c r="CG148" s="205"/>
      <c r="CH148" s="205"/>
      <c r="CI148" s="39"/>
      <c r="CJ148" s="41"/>
      <c r="CK148" s="41"/>
      <c r="CL148" s="498"/>
      <c r="CM148" s="39"/>
      <c r="CN148" s="39"/>
      <c r="CO148" s="39"/>
      <c r="CP148" s="205"/>
      <c r="CQ148" s="205"/>
      <c r="CR148" s="282"/>
      <c r="CS148" s="41">
        <f aca="true" t="shared" si="186" ref="CS148:CX148">(BI148+BO148+BU148+(CA148/0.212)+(CG148/0.55)+(CM148/0.635))</f>
        <v>111235</v>
      </c>
      <c r="CT148" s="41">
        <f t="shared" si="186"/>
        <v>62219</v>
      </c>
      <c r="CU148" s="41">
        <f t="shared" si="186"/>
        <v>53678</v>
      </c>
      <c r="CV148" s="41">
        <f t="shared" si="186"/>
        <v>36255</v>
      </c>
      <c r="CW148" s="41">
        <f t="shared" si="186"/>
        <v>26894</v>
      </c>
      <c r="CX148" s="237">
        <f t="shared" si="186"/>
        <v>83268</v>
      </c>
      <c r="CY148" s="41">
        <f aca="true" t="shared" si="187" ref="CY148:DD148">CS148*1000/0.45359237/$B148</f>
        <v>256176948.89218202</v>
      </c>
      <c r="CZ148" s="41">
        <f t="shared" si="187"/>
        <v>143291891.7887596</v>
      </c>
      <c r="DA148" s="41">
        <f t="shared" si="187"/>
        <v>123621758.10342559</v>
      </c>
      <c r="DB148" s="41">
        <f t="shared" si="187"/>
        <v>83496159.32113147</v>
      </c>
      <c r="DC148" s="41">
        <f t="shared" si="187"/>
        <v>61937545.408426695</v>
      </c>
      <c r="DD148" s="237">
        <f t="shared" si="187"/>
        <v>191768258.0155006</v>
      </c>
      <c r="DE148" s="39">
        <f t="shared" si="159"/>
        <v>11677</v>
      </c>
      <c r="DF148" s="39">
        <f t="shared" si="179"/>
        <v>60820</v>
      </c>
      <c r="DG148" s="39">
        <f t="shared" si="180"/>
        <v>71530</v>
      </c>
      <c r="DH148" s="39">
        <f t="shared" si="181"/>
        <v>98244</v>
      </c>
      <c r="DI148" s="39">
        <f t="shared" si="182"/>
        <v>62903</v>
      </c>
      <c r="DJ148" s="243">
        <f t="shared" si="183"/>
        <v>68612</v>
      </c>
      <c r="DK148" s="39">
        <f t="shared" si="149"/>
        <v>26892419.042693526</v>
      </c>
      <c r="DL148" s="39">
        <f t="shared" si="174"/>
        <v>140069960.27889168</v>
      </c>
      <c r="DM148" s="39">
        <f t="shared" si="175"/>
        <v>164735354.46808812</v>
      </c>
      <c r="DN148" s="39">
        <f t="shared" si="176"/>
        <v>226258355.43636024</v>
      </c>
      <c r="DO148" s="39">
        <f t="shared" si="177"/>
        <v>144867160.66134694</v>
      </c>
      <c r="DP148" s="243">
        <f t="shared" si="178"/>
        <v>158015128.48824918</v>
      </c>
      <c r="DQ148" s="39">
        <f>DK148+Commerical!I148</f>
        <v>68246361.71287794</v>
      </c>
      <c r="DR148" s="39">
        <f>DL148+Commerical!J148</f>
        <v>177629790.7461279</v>
      </c>
      <c r="DS148" s="39">
        <f>DM148+Commerical!K148</f>
        <v>206131082.51495698</v>
      </c>
      <c r="DT148" s="39">
        <f>DN148+Commerical!L148</f>
        <v>264979819.3754242</v>
      </c>
      <c r="DU148" s="39">
        <f>DO148+Commerical!M148</f>
        <v>180067161.9803288</v>
      </c>
      <c r="DV148" s="243">
        <f>DP148+Commerical!N148</f>
        <v>186947323.3045633</v>
      </c>
      <c r="DW148" s="213"/>
      <c r="DX148" s="39"/>
      <c r="DY148" s="38"/>
      <c r="DZ148" s="38"/>
      <c r="EA148" s="546"/>
      <c r="EB148" s="38"/>
      <c r="EC148" s="38"/>
      <c r="ED148" s="38"/>
    </row>
    <row r="149" spans="1:134" ht="12.75">
      <c r="A149" s="207" t="s">
        <v>284</v>
      </c>
      <c r="B149" s="29">
        <f>B148</f>
        <v>0.9572726914026904</v>
      </c>
      <c r="C149" s="41">
        <v>5421</v>
      </c>
      <c r="D149" s="41">
        <v>4220</v>
      </c>
      <c r="E149" s="490">
        <v>3336</v>
      </c>
      <c r="F149" s="490">
        <v>5251</v>
      </c>
      <c r="G149" s="235"/>
      <c r="H149" s="41"/>
      <c r="I149" s="205"/>
      <c r="J149" s="205"/>
      <c r="K149" s="205"/>
      <c r="L149" s="495"/>
      <c r="M149" s="401"/>
      <c r="N149" s="205"/>
      <c r="O149" s="205"/>
      <c r="P149" s="205"/>
      <c r="Q149" s="205"/>
      <c r="R149" s="271">
        <v>7219</v>
      </c>
      <c r="S149" s="205">
        <v>3791</v>
      </c>
      <c r="T149" s="205">
        <v>5841</v>
      </c>
      <c r="U149" s="205">
        <v>7750</v>
      </c>
      <c r="V149" s="397">
        <v>8173</v>
      </c>
      <c r="W149" s="397">
        <v>9521</v>
      </c>
      <c r="X149" s="216">
        <v>11529</v>
      </c>
      <c r="Y149" s="205"/>
      <c r="Z149" s="205"/>
      <c r="AA149" s="205"/>
      <c r="AB149" s="205"/>
      <c r="AC149" s="38"/>
      <c r="AD149" s="41">
        <v>5406</v>
      </c>
      <c r="AE149" s="616"/>
      <c r="AF149" s="205"/>
      <c r="AG149" s="205"/>
      <c r="AH149" s="205"/>
      <c r="AI149" s="205"/>
      <c r="AJ149" s="216"/>
      <c r="AK149" s="205"/>
      <c r="AL149" s="205"/>
      <c r="AM149" s="41"/>
      <c r="AN149" s="41"/>
      <c r="AO149" s="41"/>
      <c r="AP149" s="498"/>
      <c r="AQ149" s="39"/>
      <c r="AR149" s="39"/>
      <c r="AS149" s="205"/>
      <c r="AT149" s="205"/>
      <c r="AU149" s="205"/>
      <c r="AV149" s="235"/>
      <c r="AW149" s="41">
        <f t="shared" si="164"/>
        <v>9212</v>
      </c>
      <c r="AX149" s="41">
        <f t="shared" si="162"/>
        <v>10061</v>
      </c>
      <c r="AY149" s="41">
        <f t="shared" si="163"/>
        <v>11086</v>
      </c>
      <c r="AZ149" s="41">
        <f t="shared" si="165"/>
        <v>13424</v>
      </c>
      <c r="BA149" s="41">
        <f t="shared" si="166"/>
        <v>9521</v>
      </c>
      <c r="BB149" s="237">
        <f t="shared" si="167"/>
        <v>24154</v>
      </c>
      <c r="BC149" s="41">
        <f t="shared" si="154"/>
        <v>21215463.2372435</v>
      </c>
      <c r="BD149" s="41">
        <f t="shared" si="155"/>
        <v>23170731.179972522</v>
      </c>
      <c r="BE149" s="41">
        <f t="shared" si="168"/>
        <v>25531331.464186</v>
      </c>
      <c r="BF149" s="41">
        <f t="shared" si="169"/>
        <v>30915803.136860266</v>
      </c>
      <c r="BG149" s="41">
        <f t="shared" si="170"/>
        <v>21927097.859508835</v>
      </c>
      <c r="BH149" s="237">
        <f t="shared" si="171"/>
        <v>55627257.81940725</v>
      </c>
      <c r="BI149" s="41"/>
      <c r="BJ149" s="41"/>
      <c r="BK149" s="41"/>
      <c r="BL149" s="286"/>
      <c r="BM149" s="41"/>
      <c r="BN149" s="216"/>
      <c r="BO149" s="205"/>
      <c r="BR149" s="205"/>
      <c r="BS149" s="205"/>
      <c r="BT149" s="216"/>
      <c r="BU149" s="205"/>
      <c r="BV149" s="205"/>
      <c r="BW149" s="205"/>
      <c r="BX149" s="205"/>
      <c r="BY149" s="205"/>
      <c r="BZ149" s="235"/>
      <c r="CA149" s="41"/>
      <c r="CB149" s="41"/>
      <c r="CC149" s="205"/>
      <c r="CD149" s="205"/>
      <c r="CE149" s="205"/>
      <c r="CF149" s="216"/>
      <c r="CG149" s="205"/>
      <c r="CH149" s="205"/>
      <c r="CI149" s="39"/>
      <c r="CJ149" s="41"/>
      <c r="CK149" s="41"/>
      <c r="CL149" s="498"/>
      <c r="CM149" s="39"/>
      <c r="CN149" s="286"/>
      <c r="CP149" s="205"/>
      <c r="CQ149" s="205"/>
      <c r="CR149" s="282"/>
      <c r="CS149" s="205"/>
      <c r="CT149" s="41"/>
      <c r="CU149" s="41"/>
      <c r="CV149" s="41"/>
      <c r="CW149" s="41"/>
      <c r="CX149" s="237"/>
      <c r="CY149" s="41"/>
      <c r="CZ149" s="41"/>
      <c r="DA149" s="39"/>
      <c r="DB149" s="41"/>
      <c r="DC149" s="41"/>
      <c r="DD149" s="237"/>
      <c r="DE149" s="39">
        <f t="shared" si="159"/>
        <v>9212</v>
      </c>
      <c r="DF149" s="39">
        <f t="shared" si="179"/>
        <v>10061</v>
      </c>
      <c r="DG149" s="39">
        <f t="shared" si="180"/>
        <v>11086</v>
      </c>
      <c r="DH149" s="39">
        <f t="shared" si="181"/>
        <v>13424</v>
      </c>
      <c r="DI149" s="39">
        <f t="shared" si="182"/>
        <v>9521</v>
      </c>
      <c r="DJ149" s="243">
        <f t="shared" si="183"/>
        <v>24154</v>
      </c>
      <c r="DK149" s="39">
        <f t="shared" si="149"/>
        <v>21215463.2372435</v>
      </c>
      <c r="DL149" s="39">
        <f>BD149-CZ149</f>
        <v>23170731.179972522</v>
      </c>
      <c r="DM149" s="39">
        <f t="shared" si="175"/>
        <v>25531331.464186</v>
      </c>
      <c r="DN149" s="39">
        <f t="shared" si="176"/>
        <v>30915803.136860266</v>
      </c>
      <c r="DO149" s="39">
        <f t="shared" si="177"/>
        <v>21927097.859508835</v>
      </c>
      <c r="DP149" s="243">
        <f t="shared" si="178"/>
        <v>55627257.81940725</v>
      </c>
      <c r="DQ149" s="39">
        <f>DK149+Commerical!I149</f>
        <v>34157439.030835204</v>
      </c>
      <c r="DR149" s="39">
        <f>DL149+Commerical!J149</f>
        <v>36435499.00845161</v>
      </c>
      <c r="DS149" s="39">
        <f>DM149+Commerical!K149</f>
        <v>38547476.30139261</v>
      </c>
      <c r="DT149" s="39">
        <f>DN149+Commerical!L149</f>
        <v>42910295.51413204</v>
      </c>
      <c r="DU149" s="39">
        <f>DO149+Commerical!M149</f>
        <v>34033366.11941151</v>
      </c>
      <c r="DV149" s="243">
        <f>DP149+Commerical!N149</f>
        <v>64932861.20703457</v>
      </c>
      <c r="DW149" s="39"/>
      <c r="DX149" s="39"/>
      <c r="DY149" s="38"/>
      <c r="DZ149" s="38"/>
      <c r="EA149" s="546"/>
      <c r="EB149" s="38"/>
      <c r="EC149" s="38"/>
      <c r="ED149" s="38"/>
    </row>
    <row r="150" spans="1:134" ht="12.75">
      <c r="A150" s="18" t="s">
        <v>712</v>
      </c>
      <c r="B150" s="208">
        <f>B148</f>
        <v>0.9572726914026904</v>
      </c>
      <c r="C150" s="41"/>
      <c r="E150" s="397"/>
      <c r="F150" s="397"/>
      <c r="G150" s="495"/>
      <c r="H150" s="401"/>
      <c r="I150" s="205"/>
      <c r="J150" s="205"/>
      <c r="K150" s="205"/>
      <c r="L150" s="216"/>
      <c r="M150" s="205"/>
      <c r="N150" s="205">
        <v>11362</v>
      </c>
      <c r="O150" s="205">
        <v>6937</v>
      </c>
      <c r="P150" s="401">
        <v>10316</v>
      </c>
      <c r="Q150" s="205"/>
      <c r="R150" s="271">
        <f>8278</f>
        <v>8278</v>
      </c>
      <c r="S150" s="205"/>
      <c r="T150" s="205"/>
      <c r="U150" s="205"/>
      <c r="V150" s="205"/>
      <c r="W150" s="205"/>
      <c r="X150" s="216"/>
      <c r="Y150" s="205">
        <v>4251</v>
      </c>
      <c r="Z150" s="205">
        <v>5616</v>
      </c>
      <c r="AA150" s="205">
        <v>5591</v>
      </c>
      <c r="AB150" s="398">
        <f>753+4968</f>
        <v>5721</v>
      </c>
      <c r="AC150" s="398">
        <f>855+6419</f>
        <v>7274</v>
      </c>
      <c r="AD150" s="41"/>
      <c r="AE150" s="616">
        <v>2861</v>
      </c>
      <c r="AF150" s="401">
        <v>2781</v>
      </c>
      <c r="AG150" s="401">
        <v>2906</v>
      </c>
      <c r="AH150" s="401">
        <v>2939</v>
      </c>
      <c r="AI150" s="401">
        <v>3351</v>
      </c>
      <c r="AJ150" s="216">
        <v>3568</v>
      </c>
      <c r="AK150" s="205">
        <v>12560</v>
      </c>
      <c r="AL150" s="205">
        <v>12573</v>
      </c>
      <c r="AM150" s="401">
        <v>12757</v>
      </c>
      <c r="AN150" s="401">
        <v>12838</v>
      </c>
      <c r="AO150" s="401">
        <v>10734</v>
      </c>
      <c r="AP150" s="498">
        <v>10857</v>
      </c>
      <c r="AQ150" s="39">
        <v>4039</v>
      </c>
      <c r="AR150" s="39">
        <v>4735</v>
      </c>
      <c r="AS150" s="401">
        <v>5542</v>
      </c>
      <c r="AT150" s="401">
        <v>4160</v>
      </c>
      <c r="AU150" s="401">
        <v>4984</v>
      </c>
      <c r="AV150" s="543">
        <v>3386</v>
      </c>
      <c r="AW150" s="41">
        <f t="shared" si="164"/>
        <v>46943.27657649141</v>
      </c>
      <c r="AX150" s="41">
        <f aca="true" t="shared" si="188" ref="AX150:AY152">(D150+I150+N150+T150+Z150+(AF150/0.212)+(AL150/0.55)+(AR150/0.635))</f>
        <v>60412.61744168771</v>
      </c>
      <c r="AY150" s="41">
        <f t="shared" si="188"/>
        <v>58157.65167947488</v>
      </c>
      <c r="AZ150" s="41">
        <f t="shared" si="165"/>
        <v>59793.2068313502</v>
      </c>
      <c r="BA150" s="41">
        <f t="shared" si="166"/>
        <v>50445.786307586335</v>
      </c>
      <c r="BB150" s="237">
        <f t="shared" si="167"/>
        <v>50180.472143812214</v>
      </c>
      <c r="BC150" s="41">
        <f t="shared" si="154"/>
        <v>108111523.93012455</v>
      </c>
      <c r="BD150" s="41">
        <f t="shared" si="155"/>
        <v>139131748.19797885</v>
      </c>
      <c r="BE150" s="41">
        <f t="shared" si="168"/>
        <v>133938506.42317761</v>
      </c>
      <c r="BF150" s="41">
        <f t="shared" si="169"/>
        <v>137705230.28304464</v>
      </c>
      <c r="BG150" s="41">
        <f t="shared" si="170"/>
        <v>116177890.23908375</v>
      </c>
      <c r="BH150" s="237">
        <f t="shared" si="171"/>
        <v>115566865.17526808</v>
      </c>
      <c r="BI150" s="41">
        <v>8586</v>
      </c>
      <c r="BJ150" s="41">
        <v>7281</v>
      </c>
      <c r="BK150" s="41">
        <v>36342</v>
      </c>
      <c r="BL150" s="401">
        <v>42525</v>
      </c>
      <c r="BM150" s="401">
        <v>46335</v>
      </c>
      <c r="BN150" s="216"/>
      <c r="BO150" s="205">
        <v>18736</v>
      </c>
      <c r="BP150" s="205">
        <v>20195</v>
      </c>
      <c r="BQ150" s="205">
        <v>12559</v>
      </c>
      <c r="BR150" s="401">
        <v>27756</v>
      </c>
      <c r="BS150" s="401">
        <v>22781</v>
      </c>
      <c r="BT150" s="216"/>
      <c r="BU150" s="205"/>
      <c r="BV150" s="205"/>
      <c r="BW150" s="205"/>
      <c r="BX150" s="205"/>
      <c r="BY150" s="205"/>
      <c r="BZ150" s="235"/>
      <c r="CA150" s="41">
        <v>381</v>
      </c>
      <c r="CB150" s="41">
        <v>69</v>
      </c>
      <c r="CC150" s="205">
        <v>201</v>
      </c>
      <c r="CD150" s="400">
        <v>193</v>
      </c>
      <c r="CE150" s="400">
        <v>297</v>
      </c>
      <c r="CF150" s="216">
        <v>39</v>
      </c>
      <c r="CG150" s="205">
        <v>957</v>
      </c>
      <c r="CH150" s="205">
        <v>749</v>
      </c>
      <c r="CI150" s="39">
        <v>676</v>
      </c>
      <c r="CJ150" s="400">
        <v>988</v>
      </c>
      <c r="CK150" s="400">
        <v>783</v>
      </c>
      <c r="CL150" s="498">
        <v>1361</v>
      </c>
      <c r="CM150" s="39">
        <v>221</v>
      </c>
      <c r="CN150" s="39">
        <v>305</v>
      </c>
      <c r="CO150" s="39">
        <v>324</v>
      </c>
      <c r="CP150" s="400">
        <v>284</v>
      </c>
      <c r="CQ150" s="400">
        <v>292</v>
      </c>
      <c r="CR150" s="282">
        <v>212</v>
      </c>
      <c r="CS150" s="41">
        <f aca="true" t="shared" si="189" ref="CS150:CX151">(BI150+BO150+BU150+(CA150/0.212)+(CG150/0.55)+(CM150/0.635))</f>
        <v>31207.201307383744</v>
      </c>
      <c r="CT150" s="41">
        <f t="shared" si="189"/>
        <v>29643.60484056131</v>
      </c>
      <c r="CU150" s="41">
        <f t="shared" si="189"/>
        <v>51588.44033711052</v>
      </c>
      <c r="CV150" s="41">
        <f t="shared" si="189"/>
        <v>73434.98508934239</v>
      </c>
      <c r="CW150" s="41">
        <f t="shared" si="189"/>
        <v>72400.42227954783</v>
      </c>
      <c r="CX150" s="237">
        <f t="shared" si="189"/>
        <v>2992.3659864129336</v>
      </c>
      <c r="CY150" s="41">
        <f aca="true" t="shared" si="190" ref="CY150:CZ152">CS150*1000/0.45359237/$B150</f>
        <v>71870954.41533405</v>
      </c>
      <c r="CZ150" s="41">
        <f t="shared" si="190"/>
        <v>68269953.1821865</v>
      </c>
      <c r="DA150" s="41">
        <f aca="true" t="shared" si="191" ref="DA150:DD152">CU150*1000/0.45359237/$B150</f>
        <v>118809450.65552518</v>
      </c>
      <c r="DB150" s="41">
        <f t="shared" si="191"/>
        <v>169122582.1201116</v>
      </c>
      <c r="DC150" s="41">
        <f t="shared" si="191"/>
        <v>166739958.4490504</v>
      </c>
      <c r="DD150" s="237">
        <f t="shared" si="191"/>
        <v>6891492.680972805</v>
      </c>
      <c r="DE150" s="39">
        <f t="shared" si="159"/>
        <v>15736.075269107663</v>
      </c>
      <c r="DF150" s="39">
        <f t="shared" si="179"/>
        <v>30769.0126011264</v>
      </c>
      <c r="DG150" s="39">
        <f t="shared" si="180"/>
        <v>6569.2113423643605</v>
      </c>
      <c r="DH150" s="39">
        <f t="shared" si="181"/>
        <v>-13641.778257992184</v>
      </c>
      <c r="DI150" s="39">
        <f t="shared" si="182"/>
        <v>-21954.635971961492</v>
      </c>
      <c r="DJ150" s="243">
        <f t="shared" si="183"/>
        <v>47188.10615739928</v>
      </c>
      <c r="DK150" s="39">
        <f t="shared" si="149"/>
        <v>36240569.514790505</v>
      </c>
      <c r="DL150" s="39">
        <f t="shared" si="174"/>
        <v>70861795.01579235</v>
      </c>
      <c r="DM150" s="39">
        <f t="shared" si="175"/>
        <v>15129055.767652437</v>
      </c>
      <c r="DN150" s="39">
        <f t="shared" si="176"/>
        <v>-31417351.83706698</v>
      </c>
      <c r="DO150" s="39">
        <f t="shared" si="177"/>
        <v>-50562068.209966645</v>
      </c>
      <c r="DP150" s="243">
        <f t="shared" si="178"/>
        <v>108675372.49429528</v>
      </c>
      <c r="DQ150" s="39">
        <f aca="true" t="shared" si="192" ref="DQ150:DR152">DK150</f>
        <v>36240569.514790505</v>
      </c>
      <c r="DR150" s="39">
        <f t="shared" si="192"/>
        <v>70861795.01579235</v>
      </c>
      <c r="DS150" s="39">
        <f aca="true" t="shared" si="193" ref="DS150:DT152">DM150</f>
        <v>15129055.767652437</v>
      </c>
      <c r="DT150" s="39">
        <f t="shared" si="193"/>
        <v>-31417351.83706698</v>
      </c>
      <c r="DU150" s="39">
        <f aca="true" t="shared" si="194" ref="DU150:DV152">DO150</f>
        <v>-50562068.209966645</v>
      </c>
      <c r="DV150" s="243">
        <f t="shared" si="194"/>
        <v>108675372.49429528</v>
      </c>
      <c r="DW150" s="39"/>
      <c r="DX150" s="213"/>
      <c r="DY150" s="38"/>
      <c r="DZ150" s="38"/>
      <c r="EA150" s="547"/>
      <c r="EB150" s="38"/>
      <c r="EC150" s="38"/>
      <c r="ED150" s="38"/>
    </row>
    <row r="151" spans="1:134" ht="12.75">
      <c r="A151" s="215" t="s">
        <v>754</v>
      </c>
      <c r="B151" s="208">
        <f>B148</f>
        <v>0.9572726914026904</v>
      </c>
      <c r="C151" s="41">
        <f>921+29490</f>
        <v>30411</v>
      </c>
      <c r="D151" s="41">
        <f>1235+30199</f>
        <v>31434</v>
      </c>
      <c r="G151" s="618"/>
      <c r="I151" s="205"/>
      <c r="J151" s="205"/>
      <c r="K151" s="205"/>
      <c r="L151" s="495"/>
      <c r="M151" s="401"/>
      <c r="N151" s="205">
        <f>30199+1235</f>
        <v>31434</v>
      </c>
      <c r="O151" s="401">
        <v>30774</v>
      </c>
      <c r="P151" s="401">
        <v>31386</v>
      </c>
      <c r="Q151" s="397">
        <f>26960+1024</f>
        <v>27984</v>
      </c>
      <c r="R151" s="271"/>
      <c r="S151" s="205"/>
      <c r="V151" s="205"/>
      <c r="W151" s="205"/>
      <c r="X151" s="216"/>
      <c r="Y151" s="205"/>
      <c r="Z151" s="205"/>
      <c r="AA151" s="205"/>
      <c r="AB151" s="397"/>
      <c r="AC151" s="397"/>
      <c r="AD151" s="41"/>
      <c r="AE151" s="616"/>
      <c r="AF151" s="205"/>
      <c r="AG151" s="205"/>
      <c r="AH151" s="205"/>
      <c r="AI151" s="205"/>
      <c r="AJ151" s="216"/>
      <c r="AK151" s="205"/>
      <c r="AL151" s="205"/>
      <c r="AM151" s="41"/>
      <c r="AN151" s="41"/>
      <c r="AO151" s="41"/>
      <c r="AP151" s="498"/>
      <c r="AQ151" s="39"/>
      <c r="AR151" s="39"/>
      <c r="AS151" s="205"/>
      <c r="AT151" s="205"/>
      <c r="AU151" s="205"/>
      <c r="AV151" s="235"/>
      <c r="AW151" s="41">
        <f t="shared" si="164"/>
        <v>30411</v>
      </c>
      <c r="AX151" s="41">
        <f t="shared" si="188"/>
        <v>62868</v>
      </c>
      <c r="AY151" s="41">
        <f t="shared" si="188"/>
        <v>30774</v>
      </c>
      <c r="AZ151" s="41">
        <f t="shared" si="165"/>
        <v>31386</v>
      </c>
      <c r="BA151" s="41">
        <f t="shared" si="166"/>
        <v>27984</v>
      </c>
      <c r="BB151" s="237">
        <f t="shared" si="167"/>
        <v>0</v>
      </c>
      <c r="BC151" s="41">
        <f t="shared" si="154"/>
        <v>70037283.16411334</v>
      </c>
      <c r="BD151" s="41">
        <f t="shared" si="155"/>
        <v>144786554.79798356</v>
      </c>
      <c r="BE151" s="41">
        <f t="shared" si="168"/>
        <v>70873281.11842506</v>
      </c>
      <c r="BF151" s="41">
        <f t="shared" si="169"/>
        <v>72282732.21495056</v>
      </c>
      <c r="BG151" s="41">
        <f t="shared" si="170"/>
        <v>64447842.29602932</v>
      </c>
      <c r="BH151" s="237">
        <f t="shared" si="171"/>
        <v>0</v>
      </c>
      <c r="BI151" s="41"/>
      <c r="BJ151" s="41"/>
      <c r="BK151" s="210"/>
      <c r="BL151" s="286"/>
      <c r="BM151" s="41"/>
      <c r="BN151" s="216"/>
      <c r="BO151" s="205">
        <f>145984+18676</f>
        <v>164660</v>
      </c>
      <c r="BP151" s="623">
        <f>104289+19824</f>
        <v>124113</v>
      </c>
      <c r="BQ151" s="623">
        <v>109624</v>
      </c>
      <c r="BR151" s="401">
        <f>114605+22220</f>
        <v>136825</v>
      </c>
      <c r="BS151" s="401">
        <f>140800+18063</f>
        <v>158863</v>
      </c>
      <c r="BT151" s="216"/>
      <c r="BU151" s="205"/>
      <c r="BV151" s="205"/>
      <c r="BW151" s="205"/>
      <c r="BX151" s="205"/>
      <c r="BY151" s="205"/>
      <c r="BZ151" s="235"/>
      <c r="CA151" s="41"/>
      <c r="CB151" s="41"/>
      <c r="CC151" s="205"/>
      <c r="CD151" s="205"/>
      <c r="CE151" s="205"/>
      <c r="CF151" s="216"/>
      <c r="CG151" s="205"/>
      <c r="CH151" s="205"/>
      <c r="CI151" s="39"/>
      <c r="CJ151" s="41"/>
      <c r="CK151" s="41"/>
      <c r="CL151" s="498"/>
      <c r="CM151" s="39"/>
      <c r="CN151" s="39"/>
      <c r="CO151" s="39"/>
      <c r="CP151" s="205"/>
      <c r="CQ151" s="205"/>
      <c r="CR151" s="282"/>
      <c r="CS151" s="41">
        <f t="shared" si="189"/>
        <v>164660</v>
      </c>
      <c r="CT151" s="41">
        <f t="shared" si="189"/>
        <v>124113</v>
      </c>
      <c r="CU151" s="41">
        <f t="shared" si="189"/>
        <v>109624</v>
      </c>
      <c r="CV151" s="41">
        <f t="shared" si="189"/>
        <v>136825</v>
      </c>
      <c r="CW151" s="41">
        <f t="shared" si="189"/>
        <v>158863</v>
      </c>
      <c r="CX151" s="237">
        <f t="shared" si="189"/>
        <v>0</v>
      </c>
      <c r="CY151" s="41">
        <f t="shared" si="190"/>
        <v>379216041.7547237</v>
      </c>
      <c r="CZ151" s="41">
        <f t="shared" si="190"/>
        <v>285835300.56057346</v>
      </c>
      <c r="DA151" s="41">
        <f t="shared" si="191"/>
        <v>252466776.1527987</v>
      </c>
      <c r="DB151" s="41">
        <f t="shared" si="191"/>
        <v>315111350.1341557</v>
      </c>
      <c r="DC151" s="41">
        <f t="shared" si="191"/>
        <v>365865407.75707924</v>
      </c>
      <c r="DD151" s="237">
        <f t="shared" si="191"/>
        <v>0</v>
      </c>
      <c r="DE151" s="39">
        <f t="shared" si="159"/>
        <v>-134249</v>
      </c>
      <c r="DF151" s="39">
        <f t="shared" si="179"/>
        <v>-61245</v>
      </c>
      <c r="DG151" s="39">
        <f t="shared" si="180"/>
        <v>-78850</v>
      </c>
      <c r="DH151" s="39">
        <f t="shared" si="181"/>
        <v>-105439</v>
      </c>
      <c r="DI151" s="39">
        <f t="shared" si="182"/>
        <v>-130879</v>
      </c>
      <c r="DJ151" s="243">
        <f t="shared" si="183"/>
        <v>0</v>
      </c>
      <c r="DK151" s="39">
        <f t="shared" si="149"/>
        <v>-309178758.5906104</v>
      </c>
      <c r="DL151" s="39">
        <f t="shared" si="174"/>
        <v>-141048745.7625899</v>
      </c>
      <c r="DM151" s="39">
        <f t="shared" si="175"/>
        <v>-181593495.03437364</v>
      </c>
      <c r="DN151" s="39">
        <f t="shared" si="176"/>
        <v>-242828617.91920513</v>
      </c>
      <c r="DO151" s="39">
        <f t="shared" si="177"/>
        <v>-301417565.4610499</v>
      </c>
      <c r="DP151" s="243">
        <f t="shared" si="178"/>
        <v>0</v>
      </c>
      <c r="DQ151" s="39">
        <f t="shared" si="192"/>
        <v>-309178758.5906104</v>
      </c>
      <c r="DR151" s="39">
        <f t="shared" si="192"/>
        <v>-141048745.7625899</v>
      </c>
      <c r="DS151" s="39">
        <f t="shared" si="193"/>
        <v>-181593495.03437364</v>
      </c>
      <c r="DT151" s="39">
        <f t="shared" si="193"/>
        <v>-242828617.91920513</v>
      </c>
      <c r="DU151" s="39">
        <f t="shared" si="194"/>
        <v>-301417565.4610499</v>
      </c>
      <c r="DV151" s="243">
        <f t="shared" si="194"/>
        <v>0</v>
      </c>
      <c r="DW151" s="213"/>
      <c r="DX151" s="213"/>
      <c r="DY151" s="38"/>
      <c r="DZ151" s="38"/>
      <c r="EA151" s="547"/>
      <c r="EB151" s="38"/>
      <c r="EC151" s="38"/>
      <c r="ED151" s="38"/>
    </row>
    <row r="152" spans="1:134" ht="13.5" thickBot="1">
      <c r="A152" s="88" t="s">
        <v>784</v>
      </c>
      <c r="B152" s="208">
        <f>B148</f>
        <v>0.9572726914026904</v>
      </c>
      <c r="C152" s="41"/>
      <c r="E152" s="41"/>
      <c r="F152" s="41"/>
      <c r="G152" s="235"/>
      <c r="H152" s="41"/>
      <c r="I152" s="205"/>
      <c r="J152" s="205"/>
      <c r="K152" s="205"/>
      <c r="L152" s="216"/>
      <c r="M152" s="205"/>
      <c r="N152" s="205"/>
      <c r="O152" s="205"/>
      <c r="P152" s="205"/>
      <c r="Q152" s="205"/>
      <c r="R152" s="271"/>
      <c r="S152" s="205"/>
      <c r="T152" s="205"/>
      <c r="U152" s="205"/>
      <c r="V152" s="205"/>
      <c r="W152" s="205"/>
      <c r="X152" s="216"/>
      <c r="Y152" s="397">
        <f>15134*SUM(AW4:AW151)/SUM(AW4:AW151,AW159:AW216)</f>
        <v>9274.497925681664</v>
      </c>
      <c r="Z152" s="397">
        <f>13759*SUM(AX4:AX151)/SUM(AX4:AX151,AX159:AX216)</f>
        <v>8822.270549225186</v>
      </c>
      <c r="AA152" s="397">
        <f>11660*SUM(AY4:AY151)/SUM(AY4:AY151,AY159:AY216)</f>
        <v>7278.100413680946</v>
      </c>
      <c r="AB152" s="397">
        <f>13903*SUM(AZ4:AZ151)/SUM(AZ4:AZ151,AZ159:AZ216)</f>
        <v>8613.629457013361</v>
      </c>
      <c r="AC152" s="397">
        <f>11312*SUM(BA4:BA151)/SUM(BA4:BA151,BA159:BA216)</f>
        <v>6890.245359340044</v>
      </c>
      <c r="AD152" s="41">
        <f>11439*SUM(BB4:BB151)/SUM(BB4:BB151,BB159:BB216)</f>
        <v>6724.888909501932</v>
      </c>
      <c r="AE152" s="616"/>
      <c r="AF152" s="205"/>
      <c r="AG152" s="205"/>
      <c r="AH152" s="205"/>
      <c r="AI152" s="205"/>
      <c r="AJ152" s="216"/>
      <c r="AK152" s="205"/>
      <c r="AL152" s="205"/>
      <c r="AM152" s="41"/>
      <c r="AN152" s="41"/>
      <c r="AO152" s="41"/>
      <c r="AP152" s="498"/>
      <c r="AQ152" s="39"/>
      <c r="AR152" s="39"/>
      <c r="AS152" s="205"/>
      <c r="AT152" s="205"/>
      <c r="AU152" s="205"/>
      <c r="AV152" s="235"/>
      <c r="AW152" s="41">
        <f t="shared" si="164"/>
        <v>9274.497925681664</v>
      </c>
      <c r="AX152" s="41">
        <f t="shared" si="188"/>
        <v>8822.270549225186</v>
      </c>
      <c r="AY152" s="41">
        <f t="shared" si="188"/>
        <v>7278.100413680946</v>
      </c>
      <c r="AZ152" s="41">
        <f>(F152+K152+P152+V152+AB152+(AH152/0.212)+(AN152/0.55)+(AT152/0.635))</f>
        <v>8613.629457013361</v>
      </c>
      <c r="BA152" s="41">
        <f>G152+AC152</f>
        <v>6890.245359340044</v>
      </c>
      <c r="BB152" s="237">
        <f>R152+AD152</f>
        <v>6724.888909501932</v>
      </c>
      <c r="BC152" s="41">
        <f t="shared" si="154"/>
        <v>21359397.50175754</v>
      </c>
      <c r="BD152" s="41">
        <f t="shared" si="155"/>
        <v>20317906.698448</v>
      </c>
      <c r="BE152" s="41">
        <f t="shared" si="168"/>
        <v>16761644.785433654</v>
      </c>
      <c r="BF152" s="41">
        <f t="shared" si="169"/>
        <v>19837401.116424736</v>
      </c>
      <c r="BG152" s="41">
        <f t="shared" si="170"/>
        <v>15868405.027862173</v>
      </c>
      <c r="BH152" s="237">
        <f t="shared" si="171"/>
        <v>15487585.044950586</v>
      </c>
      <c r="BI152" s="41"/>
      <c r="BJ152" s="41"/>
      <c r="BK152" s="210"/>
      <c r="BL152" s="286"/>
      <c r="BM152" s="41"/>
      <c r="BN152" s="216"/>
      <c r="BO152" s="205"/>
      <c r="BP152" s="205"/>
      <c r="BQ152" s="205"/>
      <c r="BR152" s="205"/>
      <c r="BS152" s="205"/>
      <c r="BT152" s="216"/>
      <c r="BU152" s="472">
        <f>287*SUM(CS4:CS151)/SUM(CS4:CS151,CS159:CS216)</f>
        <v>231.53677671632474</v>
      </c>
      <c r="BV152" s="472">
        <f>297*SUM(CT4:CT151)/SUM(CT4:CT151,CT159:CT216)</f>
        <v>239.5443864731035</v>
      </c>
      <c r="BW152" s="472">
        <f>324*SUM(CU4:CU151)/SUM(CU4:CU151,CU159:CU216)</f>
        <v>271.79751405676524</v>
      </c>
      <c r="BX152" s="472">
        <f>657*SUM(CV4:CV151)/SUM(CV4:CV151,CV159:CV216)</f>
        <v>575.4087721066512</v>
      </c>
      <c r="BY152" s="472">
        <f>426*SUM(CW4:CW151)/SUM(CW4:CW151,CW159:CW216)</f>
        <v>379.3481511705448</v>
      </c>
      <c r="BZ152" s="512">
        <f>525*SUM(CX4:CX151)/SUM(CX4:CX151,CX159:CX216)</f>
        <v>443.95825749047515</v>
      </c>
      <c r="CA152" s="473"/>
      <c r="CB152" s="473"/>
      <c r="CC152" s="205"/>
      <c r="CD152" s="205"/>
      <c r="CE152" s="205"/>
      <c r="CF152" s="216"/>
      <c r="CG152" s="205"/>
      <c r="CH152" s="205"/>
      <c r="CI152" s="39"/>
      <c r="CJ152" s="205"/>
      <c r="CK152" s="41"/>
      <c r="CL152" s="238"/>
      <c r="CM152" s="38"/>
      <c r="CN152" s="38"/>
      <c r="CO152" s="39"/>
      <c r="CP152" s="205"/>
      <c r="CQ152" s="205"/>
      <c r="CR152" s="282"/>
      <c r="CS152" s="41">
        <f>(BI152+BO152+BU152+(CA152/0.212)+(CG152/0.55)+(CM152/0.635))</f>
        <v>231.53677671632474</v>
      </c>
      <c r="CT152" s="41">
        <f>BJ152+BV152</f>
        <v>239.5443864731035</v>
      </c>
      <c r="CU152" s="41">
        <f>BK152+BW152</f>
        <v>271.79751405676524</v>
      </c>
      <c r="CV152" s="41">
        <f>BL152+BX152</f>
        <v>575.4087721066512</v>
      </c>
      <c r="CW152" s="41">
        <f>BM152+BY152</f>
        <v>379.3481511705448</v>
      </c>
      <c r="CX152" s="237">
        <f>BN152+BZ152</f>
        <v>443.95825749047515</v>
      </c>
      <c r="CY152" s="41">
        <f t="shared" si="190"/>
        <v>533234.9082170044</v>
      </c>
      <c r="CZ152" s="41">
        <f t="shared" si="190"/>
        <v>551676.6310147825</v>
      </c>
      <c r="DA152" s="41">
        <f t="shared" si="191"/>
        <v>625956.3794447978</v>
      </c>
      <c r="DB152" s="41">
        <f t="shared" si="191"/>
        <v>1325180.5960720887</v>
      </c>
      <c r="DC152" s="41">
        <f t="shared" si="191"/>
        <v>873648.1497258992</v>
      </c>
      <c r="DD152" s="237">
        <f t="shared" si="191"/>
        <v>1022446.8183521341</v>
      </c>
      <c r="DE152" s="39">
        <f t="shared" si="159"/>
        <v>9042.96114896534</v>
      </c>
      <c r="DF152" s="39">
        <f t="shared" si="179"/>
        <v>8582.726162752082</v>
      </c>
      <c r="DG152" s="39">
        <f t="shared" si="180"/>
        <v>7006.302899624181</v>
      </c>
      <c r="DH152" s="39">
        <f t="shared" si="181"/>
        <v>8038.22068490671</v>
      </c>
      <c r="DI152" s="39">
        <f t="shared" si="182"/>
        <v>6510.897208169499</v>
      </c>
      <c r="DJ152" s="243">
        <f t="shared" si="183"/>
        <v>6280.930652011457</v>
      </c>
      <c r="DK152" s="39">
        <f t="shared" si="149"/>
        <v>20826162.593540534</v>
      </c>
      <c r="DL152" s="39">
        <f t="shared" si="174"/>
        <v>19766230.067433216</v>
      </c>
      <c r="DM152" s="39">
        <f t="shared" si="175"/>
        <v>16135688.405988855</v>
      </c>
      <c r="DN152" s="39">
        <f t="shared" si="176"/>
        <v>18512220.520352647</v>
      </c>
      <c r="DO152" s="39">
        <f t="shared" si="177"/>
        <v>14994756.878136273</v>
      </c>
      <c r="DP152" s="243">
        <f t="shared" si="178"/>
        <v>14465138.22659845</v>
      </c>
      <c r="DQ152" s="39">
        <f t="shared" si="192"/>
        <v>20826162.593540534</v>
      </c>
      <c r="DR152" s="39">
        <f t="shared" si="192"/>
        <v>19766230.067433216</v>
      </c>
      <c r="DS152" s="39">
        <f t="shared" si="193"/>
        <v>16135688.405988855</v>
      </c>
      <c r="DT152" s="39">
        <f t="shared" si="193"/>
        <v>18512220.520352647</v>
      </c>
      <c r="DU152" s="39">
        <f t="shared" si="194"/>
        <v>14994756.878136273</v>
      </c>
      <c r="DV152" s="243">
        <f t="shared" si="194"/>
        <v>14465138.22659845</v>
      </c>
      <c r="DW152" s="39"/>
      <c r="DX152" s="39"/>
      <c r="DY152" s="38"/>
      <c r="DZ152" s="38"/>
      <c r="EA152" s="546"/>
      <c r="EB152" s="38"/>
      <c r="EC152" s="38"/>
      <c r="ED152" s="38"/>
    </row>
    <row r="153" spans="1:134" s="286" customFormat="1" ht="13.5" thickBot="1">
      <c r="A153" s="471" t="s">
        <v>42</v>
      </c>
      <c r="B153" s="29"/>
      <c r="C153" s="41"/>
      <c r="D153" s="41"/>
      <c r="E153" s="41"/>
      <c r="F153" s="41"/>
      <c r="G153" s="235"/>
      <c r="H153" s="41"/>
      <c r="I153" s="205"/>
      <c r="J153" s="205"/>
      <c r="K153" s="205"/>
      <c r="L153" s="216"/>
      <c r="M153" s="205"/>
      <c r="N153" s="205"/>
      <c r="O153" s="205"/>
      <c r="P153" s="205"/>
      <c r="Q153" s="205"/>
      <c r="R153" s="271"/>
      <c r="S153" s="205"/>
      <c r="T153" s="492"/>
      <c r="U153" s="492"/>
      <c r="V153" s="205"/>
      <c r="W153" s="205"/>
      <c r="X153" s="216"/>
      <c r="Y153" s="205"/>
      <c r="Z153" s="205"/>
      <c r="AA153" s="205"/>
      <c r="AB153" s="401"/>
      <c r="AC153" s="401"/>
      <c r="AD153" s="41"/>
      <c r="AE153" s="616"/>
      <c r="AF153" s="205"/>
      <c r="AG153" s="205"/>
      <c r="AH153" s="205"/>
      <c r="AI153" s="205"/>
      <c r="AJ153" s="216"/>
      <c r="AK153" s="205"/>
      <c r="AL153" s="205"/>
      <c r="AM153" s="41"/>
      <c r="AN153" s="41"/>
      <c r="AO153" s="41"/>
      <c r="AP153" s="498"/>
      <c r="AQ153" s="39"/>
      <c r="AR153" s="39"/>
      <c r="AS153" s="205"/>
      <c r="AT153" s="205"/>
      <c r="AU153" s="205"/>
      <c r="AV153" s="235"/>
      <c r="AW153" s="41">
        <f>Fishmeal!B46</f>
        <v>0</v>
      </c>
      <c r="AX153" s="41">
        <f>Fishmeal!D46</f>
        <v>39123</v>
      </c>
      <c r="AY153" s="41">
        <f>Fishmeal!E46</f>
        <v>34805</v>
      </c>
      <c r="AZ153" s="41">
        <f>Fishmeal!F46</f>
        <v>38121</v>
      </c>
      <c r="BA153" s="41">
        <f>Fishmeal!G46</f>
        <v>39628</v>
      </c>
      <c r="BB153" s="505">
        <f>Fishmeal!H46</f>
        <v>58697</v>
      </c>
      <c r="BC153" s="41">
        <f>Fishmeal!C50</f>
        <v>1638673046.6721065</v>
      </c>
      <c r="BD153" s="41">
        <f>Fishmeal!D50</f>
        <v>1863169682.4944878</v>
      </c>
      <c r="BE153" s="260">
        <f>Fishmeal!E50</f>
        <v>1657531907.042421</v>
      </c>
      <c r="BF153" s="41">
        <f>Fishmeal!F50</f>
        <v>1815451050.9514189</v>
      </c>
      <c r="BG153" s="41">
        <f>Fishmeal!G50</f>
        <v>1887219491.805116</v>
      </c>
      <c r="BH153" s="237">
        <f>Fishmeal!H50</f>
        <v>2795349816.0514007</v>
      </c>
      <c r="BI153" s="41"/>
      <c r="BJ153" s="260"/>
      <c r="BK153" s="247"/>
      <c r="BL153" s="602"/>
      <c r="BM153" s="260"/>
      <c r="BN153" s="509"/>
      <c r="BO153" s="205"/>
      <c r="BP153" s="205"/>
      <c r="BQ153" s="205"/>
      <c r="BR153" s="205"/>
      <c r="BS153" s="205"/>
      <c r="BT153" s="216"/>
      <c r="BU153" s="205"/>
      <c r="BV153" s="205"/>
      <c r="BW153" s="472"/>
      <c r="BX153" s="472"/>
      <c r="BY153" s="472"/>
      <c r="BZ153" s="512"/>
      <c r="CA153" s="473"/>
      <c r="CB153" s="473"/>
      <c r="CC153" s="205"/>
      <c r="CD153" s="205"/>
      <c r="CE153" s="205"/>
      <c r="CF153" s="216"/>
      <c r="CG153" s="205"/>
      <c r="CH153" s="205"/>
      <c r="CI153" s="39"/>
      <c r="CJ153" s="205"/>
      <c r="CK153" s="41"/>
      <c r="CL153" s="238"/>
      <c r="CM153" s="38"/>
      <c r="CN153" s="38"/>
      <c r="CO153" s="39"/>
      <c r="CP153" s="205"/>
      <c r="CQ153" s="205"/>
      <c r="CR153" s="482"/>
      <c r="CS153" s="41">
        <f>Fishmeal!B52</f>
        <v>0</v>
      </c>
      <c r="CT153" s="41">
        <f>Fishmeal!D52</f>
        <v>76512</v>
      </c>
      <c r="CU153" s="41">
        <f>Fishmeal!E52</f>
        <v>72919</v>
      </c>
      <c r="CV153" s="41">
        <f>Fishmeal!F52</f>
        <v>88778</v>
      </c>
      <c r="CW153" s="41">
        <f>Fishmeal!G52</f>
        <v>104602</v>
      </c>
      <c r="CX153" s="237">
        <f>Fishmeal!H52</f>
        <v>117103</v>
      </c>
      <c r="CY153" s="41">
        <f>Fishmeal!C56</f>
        <v>1272471419.619269</v>
      </c>
      <c r="CZ153" s="41">
        <f>Fishmeal!D56</f>
        <v>1134235041.507852</v>
      </c>
      <c r="DA153" s="41">
        <f>Fishmeal!E56</f>
        <v>1080971416.1400967</v>
      </c>
      <c r="DB153" s="41">
        <f>Fishmeal!F56</f>
        <v>1316069616.7265801</v>
      </c>
      <c r="DC153" s="41">
        <f>Fishmeal!G56</f>
        <v>1550648967.636506</v>
      </c>
      <c r="DD153" s="237">
        <f>Fishmeal!H56</f>
        <v>1735967247.8264062</v>
      </c>
      <c r="DE153" s="39">
        <f t="shared" si="159"/>
        <v>0</v>
      </c>
      <c r="DF153" s="39">
        <f t="shared" si="179"/>
        <v>-37389</v>
      </c>
      <c r="DG153" s="39">
        <f t="shared" si="180"/>
        <v>-38114</v>
      </c>
      <c r="DH153" s="39">
        <f t="shared" si="181"/>
        <v>-50657</v>
      </c>
      <c r="DI153" s="39">
        <f t="shared" si="182"/>
        <v>-64974</v>
      </c>
      <c r="DJ153" s="257">
        <f t="shared" si="183"/>
        <v>-58406</v>
      </c>
      <c r="DK153" s="39">
        <f t="shared" si="149"/>
        <v>366201627.0528376</v>
      </c>
      <c r="DL153" s="39">
        <f t="shared" si="174"/>
        <v>728934640.9866357</v>
      </c>
      <c r="DM153" s="39">
        <f t="shared" si="175"/>
        <v>576560490.9023244</v>
      </c>
      <c r="DN153" s="39">
        <f t="shared" si="176"/>
        <v>499381434.22483873</v>
      </c>
      <c r="DO153" s="39">
        <f t="shared" si="177"/>
        <v>336570524.16860986</v>
      </c>
      <c r="DP153" s="243">
        <f t="shared" si="178"/>
        <v>1059382568.2249944</v>
      </c>
      <c r="DQ153" s="39">
        <f aca="true" t="shared" si="195" ref="DQ153:DV153">DK153</f>
        <v>366201627.0528376</v>
      </c>
      <c r="DR153" s="213">
        <f t="shared" si="195"/>
        <v>728934640.9866357</v>
      </c>
      <c r="DS153" s="39">
        <f t="shared" si="195"/>
        <v>576560490.9023244</v>
      </c>
      <c r="DT153" s="39">
        <f t="shared" si="195"/>
        <v>499381434.22483873</v>
      </c>
      <c r="DU153" s="39">
        <f t="shared" si="195"/>
        <v>336570524.16860986</v>
      </c>
      <c r="DV153" s="243">
        <f t="shared" si="195"/>
        <v>1059382568.2249944</v>
      </c>
      <c r="DW153" s="267" t="s">
        <v>763</v>
      </c>
      <c r="DX153" s="213"/>
      <c r="DY153" s="38"/>
      <c r="DZ153" s="38"/>
      <c r="EA153" s="547"/>
      <c r="EB153" s="38"/>
      <c r="EC153" s="38"/>
      <c r="ED153" s="38"/>
    </row>
    <row r="154" spans="1:134" ht="13.5" thickBot="1">
      <c r="A154" s="404" t="s">
        <v>493</v>
      </c>
      <c r="B154" s="499"/>
      <c r="C154" s="231">
        <f aca="true" t="shared" si="196" ref="C154:CV154">SUM(C4:C153)</f>
        <v>471755</v>
      </c>
      <c r="D154" s="231">
        <f t="shared" si="196"/>
        <v>545644</v>
      </c>
      <c r="E154" s="231">
        <f t="shared" si="196"/>
        <v>458354</v>
      </c>
      <c r="F154" s="231">
        <f t="shared" si="196"/>
        <v>484133</v>
      </c>
      <c r="G154" s="355">
        <f t="shared" si="196"/>
        <v>436797</v>
      </c>
      <c r="H154" s="231">
        <f t="shared" si="196"/>
        <v>50482</v>
      </c>
      <c r="I154" s="231">
        <f t="shared" si="196"/>
        <v>49373</v>
      </c>
      <c r="J154" s="231">
        <f t="shared" si="196"/>
        <v>53028</v>
      </c>
      <c r="K154" s="231">
        <f t="shared" si="196"/>
        <v>50837</v>
      </c>
      <c r="L154" s="355">
        <f t="shared" si="196"/>
        <v>58635</v>
      </c>
      <c r="M154" s="231">
        <f t="shared" si="196"/>
        <v>2566</v>
      </c>
      <c r="N154" s="231">
        <f t="shared" si="196"/>
        <v>46058</v>
      </c>
      <c r="O154" s="231">
        <f t="shared" si="196"/>
        <v>41195</v>
      </c>
      <c r="P154" s="231">
        <f t="shared" si="196"/>
        <v>45006</v>
      </c>
      <c r="Q154" s="355">
        <f t="shared" si="196"/>
        <v>46027</v>
      </c>
      <c r="R154" s="355">
        <f t="shared" si="196"/>
        <v>578310</v>
      </c>
      <c r="S154" s="231">
        <f t="shared" si="196"/>
        <v>621753</v>
      </c>
      <c r="T154" s="231">
        <f t="shared" si="196"/>
        <v>601620</v>
      </c>
      <c r="U154" s="231">
        <f t="shared" si="196"/>
        <v>567432</v>
      </c>
      <c r="V154" s="231">
        <f t="shared" si="196"/>
        <v>555769</v>
      </c>
      <c r="W154" s="231">
        <f t="shared" si="196"/>
        <v>569480</v>
      </c>
      <c r="X154" s="355">
        <f t="shared" si="196"/>
        <v>550088</v>
      </c>
      <c r="Y154" s="231">
        <f t="shared" si="196"/>
        <v>256997.49792568167</v>
      </c>
      <c r="Z154" s="231">
        <f t="shared" si="196"/>
        <v>266795.2705492252</v>
      </c>
      <c r="AA154" s="231">
        <f t="shared" si="196"/>
        <v>248838.10041368095</v>
      </c>
      <c r="AB154" s="231">
        <f t="shared" si="196"/>
        <v>234807.62945701336</v>
      </c>
      <c r="AC154" s="231">
        <f t="shared" si="196"/>
        <v>234824.24535934004</v>
      </c>
      <c r="AD154" s="231">
        <f t="shared" si="196"/>
        <v>247970.88890950193</v>
      </c>
      <c r="AE154" s="231">
        <f t="shared" si="196"/>
        <v>6119</v>
      </c>
      <c r="AF154" s="231">
        <f t="shared" si="196"/>
        <v>6098</v>
      </c>
      <c r="AG154" s="231">
        <f t="shared" si="196"/>
        <v>5975</v>
      </c>
      <c r="AH154" s="231">
        <f t="shared" si="196"/>
        <v>6427</v>
      </c>
      <c r="AI154" s="231">
        <f t="shared" si="196"/>
        <v>6856</v>
      </c>
      <c r="AJ154" s="355">
        <f t="shared" si="196"/>
        <v>6635</v>
      </c>
      <c r="AK154" s="231">
        <f t="shared" si="196"/>
        <v>22955</v>
      </c>
      <c r="AL154" s="231">
        <f t="shared" si="196"/>
        <v>23084</v>
      </c>
      <c r="AM154" s="231">
        <f t="shared" si="196"/>
        <v>22287</v>
      </c>
      <c r="AN154" s="231">
        <f t="shared" si="196"/>
        <v>24467</v>
      </c>
      <c r="AO154" s="231">
        <f t="shared" si="196"/>
        <v>22294</v>
      </c>
      <c r="AP154" s="355">
        <f t="shared" si="196"/>
        <v>23672</v>
      </c>
      <c r="AQ154" s="231">
        <f t="shared" si="196"/>
        <v>11940</v>
      </c>
      <c r="AR154" s="231">
        <f t="shared" si="196"/>
        <v>12386</v>
      </c>
      <c r="AS154" s="231">
        <f t="shared" si="196"/>
        <v>12829</v>
      </c>
      <c r="AT154" s="231">
        <f t="shared" si="196"/>
        <v>11137</v>
      </c>
      <c r="AU154" s="231">
        <f t="shared" si="196"/>
        <v>11180</v>
      </c>
      <c r="AV154" s="355">
        <f t="shared" si="196"/>
        <v>5715</v>
      </c>
      <c r="AW154" s="231">
        <f t="shared" si="196"/>
        <v>1492956.2187155143</v>
      </c>
      <c r="AX154" s="231">
        <f t="shared" si="196"/>
        <v>1638853.842394554</v>
      </c>
      <c r="AY154" s="412">
        <f t="shared" si="196"/>
        <v>1492561.0304659493</v>
      </c>
      <c r="AZ154" s="412">
        <f t="shared" si="196"/>
        <v>1501013.7044154825</v>
      </c>
      <c r="BA154" s="412">
        <f t="shared" si="196"/>
        <v>1475874.7126679935</v>
      </c>
      <c r="BB154" s="415">
        <f t="shared" si="196"/>
        <v>1524009.3579334212</v>
      </c>
      <c r="BC154" s="231">
        <f t="shared" si="196"/>
        <v>3584564724.5323014</v>
      </c>
      <c r="BD154" s="231">
        <f t="shared" si="196"/>
        <v>3942892144.2373066</v>
      </c>
      <c r="BE154" s="231">
        <f t="shared" si="196"/>
        <v>3647262082.25614</v>
      </c>
      <c r="BF154" s="231">
        <f t="shared" si="196"/>
        <v>3760242463.0514846</v>
      </c>
      <c r="BG154" s="231">
        <f t="shared" si="196"/>
        <v>3707725294.3308344</v>
      </c>
      <c r="BH154" s="245">
        <f t="shared" si="196"/>
        <v>4571032111.809189</v>
      </c>
      <c r="BI154" s="231">
        <f t="shared" si="196"/>
        <v>639023</v>
      </c>
      <c r="BJ154" s="231">
        <f t="shared" si="196"/>
        <v>592210</v>
      </c>
      <c r="BK154" s="231">
        <f t="shared" si="196"/>
        <v>570892</v>
      </c>
      <c r="BL154" s="281">
        <f t="shared" si="196"/>
        <v>586834</v>
      </c>
      <c r="BM154" s="231">
        <f t="shared" si="196"/>
        <v>655815</v>
      </c>
      <c r="BN154" s="245">
        <f t="shared" si="196"/>
        <v>652651</v>
      </c>
      <c r="BO154" s="231">
        <f t="shared" si="196"/>
        <v>398326</v>
      </c>
      <c r="BP154" s="231">
        <f t="shared" si="196"/>
        <v>267488</v>
      </c>
      <c r="BQ154" s="231">
        <f t="shared" si="196"/>
        <v>250956</v>
      </c>
      <c r="BR154" s="231">
        <f t="shared" si="196"/>
        <v>288360</v>
      </c>
      <c r="BS154" s="231">
        <f t="shared" si="196"/>
        <v>315030</v>
      </c>
      <c r="BT154" s="231">
        <f t="shared" si="196"/>
        <v>108197</v>
      </c>
      <c r="BU154" s="281">
        <f t="shared" si="196"/>
        <v>34099.536776716326</v>
      </c>
      <c r="BV154" s="231">
        <f t="shared" si="196"/>
        <v>63046.544386473106</v>
      </c>
      <c r="BW154" s="231">
        <f t="shared" si="196"/>
        <v>62262.797514056765</v>
      </c>
      <c r="BX154" s="231">
        <f t="shared" si="196"/>
        <v>72078.40877210665</v>
      </c>
      <c r="BY154" s="231">
        <f t="shared" si="196"/>
        <v>68993.34815117055</v>
      </c>
      <c r="BZ154" s="355">
        <f t="shared" si="196"/>
        <v>63992.95825749048</v>
      </c>
      <c r="CA154" s="231">
        <f t="shared" si="196"/>
        <v>896</v>
      </c>
      <c r="CB154" s="231">
        <f t="shared" si="196"/>
        <v>370</v>
      </c>
      <c r="CC154" s="231">
        <f t="shared" si="196"/>
        <v>508</v>
      </c>
      <c r="CD154" s="231">
        <f t="shared" si="196"/>
        <v>563</v>
      </c>
      <c r="CE154" s="231">
        <f t="shared" si="196"/>
        <v>374</v>
      </c>
      <c r="CF154" s="355">
        <f t="shared" si="196"/>
        <v>1069</v>
      </c>
      <c r="CG154" s="231">
        <f t="shared" si="196"/>
        <v>1308</v>
      </c>
      <c r="CH154" s="231">
        <f t="shared" si="196"/>
        <v>890</v>
      </c>
      <c r="CI154" s="231">
        <f t="shared" si="196"/>
        <v>947</v>
      </c>
      <c r="CJ154" s="231">
        <f t="shared" si="196"/>
        <v>2377</v>
      </c>
      <c r="CK154" s="231">
        <f t="shared" si="196"/>
        <v>2309</v>
      </c>
      <c r="CL154" s="355">
        <f t="shared" si="196"/>
        <v>3505</v>
      </c>
      <c r="CM154" s="231">
        <f t="shared" si="196"/>
        <v>518</v>
      </c>
      <c r="CN154" s="231">
        <f t="shared" si="196"/>
        <v>413</v>
      </c>
      <c r="CO154" s="231">
        <f t="shared" si="196"/>
        <v>415</v>
      </c>
      <c r="CP154" s="231">
        <f t="shared" si="196"/>
        <v>877</v>
      </c>
      <c r="CQ154" s="231">
        <f t="shared" si="196"/>
        <v>450</v>
      </c>
      <c r="CR154" s="245">
        <f t="shared" si="196"/>
        <v>309</v>
      </c>
      <c r="CS154" s="231">
        <f t="shared" si="196"/>
        <v>1078868.8817207338</v>
      </c>
      <c r="CT154" s="412">
        <f t="shared" si="196"/>
        <v>1003270.4029243102</v>
      </c>
      <c r="CU154" s="412">
        <f t="shared" si="196"/>
        <v>961801.385418056</v>
      </c>
      <c r="CV154" s="412">
        <f t="shared" si="196"/>
        <v>1044408.989693488</v>
      </c>
      <c r="CW154" s="412">
        <f aca="true" t="shared" si="197" ref="CW154:DQ154">SUM(CW4:CW153)</f>
        <v>1151111.3423300714</v>
      </c>
      <c r="CX154" s="415">
        <f t="shared" si="197"/>
        <v>953845.7525336348</v>
      </c>
      <c r="CY154" s="231">
        <f t="shared" si="197"/>
        <v>3098982679.754931</v>
      </c>
      <c r="CZ154" s="231">
        <f t="shared" si="197"/>
        <v>2815600569.4960985</v>
      </c>
      <c r="DA154" s="231">
        <f t="shared" si="197"/>
        <v>2806830919.7124515</v>
      </c>
      <c r="DB154" s="231">
        <f t="shared" si="197"/>
        <v>3210247099.517675</v>
      </c>
      <c r="DC154" s="231">
        <f t="shared" si="197"/>
        <v>3819197600.2753415</v>
      </c>
      <c r="DD154" s="245">
        <f t="shared" si="197"/>
        <v>3235843250.7706785</v>
      </c>
      <c r="DE154" s="231">
        <f t="shared" si="197"/>
        <v>411152.50680610124</v>
      </c>
      <c r="DF154" s="231">
        <f>SUM(DF4:DF153)</f>
        <v>633292.8734325082</v>
      </c>
      <c r="DG154" s="231">
        <f t="shared" si="197"/>
        <v>529370.7393875159</v>
      </c>
      <c r="DH154" s="231">
        <f t="shared" si="197"/>
        <v>454735.8090616169</v>
      </c>
      <c r="DI154" s="231">
        <f t="shared" si="197"/>
        <v>324127.20052660117</v>
      </c>
      <c r="DJ154" s="231">
        <f t="shared" si="197"/>
        <v>570163.6053997863</v>
      </c>
      <c r="DK154" s="231">
        <f t="shared" si="197"/>
        <v>485582044.7773708</v>
      </c>
      <c r="DL154" s="231">
        <f t="shared" si="197"/>
        <v>1127291574.7412093</v>
      </c>
      <c r="DM154" s="231">
        <f t="shared" si="197"/>
        <v>840431162.5436885</v>
      </c>
      <c r="DN154" s="231">
        <f t="shared" si="197"/>
        <v>549995363.5338104</v>
      </c>
      <c r="DO154" s="231">
        <f t="shared" si="197"/>
        <v>-111472305.94450665</v>
      </c>
      <c r="DP154" s="245">
        <f t="shared" si="197"/>
        <v>1335188861.0385115</v>
      </c>
      <c r="DQ154" s="231">
        <f t="shared" si="197"/>
        <v>9787800730.114605</v>
      </c>
      <c r="DR154" s="231">
        <f>SUM(DR4:DR153)</f>
        <v>8099067732.987719</v>
      </c>
      <c r="DS154" s="231">
        <f>SUM(DS4:DS153)</f>
        <v>8223031025.302664</v>
      </c>
      <c r="DT154" s="231">
        <f>SUM(DT4:DT153)</f>
        <v>8177712205.410505</v>
      </c>
      <c r="DU154" s="231">
        <f>SUM(DU4:DU153)</f>
        <v>8579967735.048357</v>
      </c>
      <c r="DV154" s="231">
        <f>SUM(DV4:DV153)</f>
        <v>9834207749.196522</v>
      </c>
      <c r="DW154" s="284">
        <f>DQ154/DQ224</f>
        <v>0.20343419322895898</v>
      </c>
      <c r="DX154" s="39"/>
      <c r="DY154" s="38"/>
      <c r="DZ154" s="38"/>
      <c r="EA154" s="546"/>
      <c r="EB154" s="38"/>
      <c r="EC154" s="38"/>
      <c r="ED154" s="38"/>
    </row>
    <row r="155" spans="1:134" ht="13.5" thickBot="1">
      <c r="A155" s="38"/>
      <c r="B155" s="230"/>
      <c r="C155" s="213"/>
      <c r="D155" s="39"/>
      <c r="E155" s="230"/>
      <c r="F155" s="41"/>
      <c r="G155" s="41"/>
      <c r="H155" s="41"/>
      <c r="I155" s="246"/>
      <c r="J155" s="246"/>
      <c r="K155" s="246"/>
      <c r="L155" s="246" t="s">
        <v>821</v>
      </c>
      <c r="M155" s="246">
        <v>8736</v>
      </c>
      <c r="N155" s="246">
        <v>6436</v>
      </c>
      <c r="O155" s="246"/>
      <c r="P155" s="246"/>
      <c r="Q155" s="246"/>
      <c r="R155" s="213"/>
      <c r="S155" s="213"/>
      <c r="T155" s="39"/>
      <c r="U155" s="39"/>
      <c r="V155" s="246"/>
      <c r="W155" s="246"/>
      <c r="X155" s="246"/>
      <c r="Y155" s="213"/>
      <c r="Z155" s="213"/>
      <c r="AA155" s="213"/>
      <c r="AB155" s="213"/>
      <c r="AC155" s="38"/>
      <c r="AD155" s="213"/>
      <c r="AE155" s="213"/>
      <c r="AF155" s="213"/>
      <c r="AG155" s="213"/>
      <c r="AH155" s="213"/>
      <c r="AI155" s="213"/>
      <c r="AJ155" s="213"/>
      <c r="AK155" s="213"/>
      <c r="AL155" s="213"/>
      <c r="AM155" s="213"/>
      <c r="AN155" s="213"/>
      <c r="AO155" s="213"/>
      <c r="AP155" s="213"/>
      <c r="AQ155" s="213"/>
      <c r="AR155" s="213"/>
      <c r="AS155" s="213"/>
      <c r="AT155" s="213"/>
      <c r="AU155" s="213"/>
      <c r="AV155" s="413"/>
      <c r="AW155" s="413"/>
      <c r="AX155" s="413"/>
      <c r="AY155" s="413"/>
      <c r="AZ155" s="413"/>
      <c r="BA155" s="413"/>
      <c r="BB155" s="506"/>
      <c r="BC155" s="506"/>
      <c r="BD155" s="506"/>
      <c r="BE155" s="506"/>
      <c r="BF155" s="506"/>
      <c r="BG155" s="506"/>
      <c r="BH155" s="506"/>
      <c r="BI155" s="246"/>
      <c r="BJ155" s="246"/>
      <c r="BK155" s="246"/>
      <c r="BL155" s="246"/>
      <c r="BM155" s="246"/>
      <c r="BN155" s="246"/>
      <c r="BO155" s="246"/>
      <c r="BP155" s="246"/>
      <c r="BQ155" s="246"/>
      <c r="BR155" s="246"/>
      <c r="BS155" s="246"/>
      <c r="BT155" s="246"/>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413"/>
      <c r="CU155" s="413"/>
      <c r="CV155" s="413"/>
      <c r="CW155" s="413"/>
      <c r="CX155" s="413"/>
      <c r="CY155" s="506"/>
      <c r="CZ155" s="506"/>
      <c r="DA155" s="506"/>
      <c r="DB155" s="506"/>
      <c r="DC155" s="506"/>
      <c r="DD155" s="506"/>
      <c r="DE155" s="213"/>
      <c r="DF155" s="213"/>
      <c r="DG155" s="213"/>
      <c r="DH155" s="213"/>
      <c r="DI155" s="213"/>
      <c r="DJ155" s="213"/>
      <c r="DK155" s="213"/>
      <c r="DL155" s="213"/>
      <c r="DM155" s="213"/>
      <c r="DN155" s="213"/>
      <c r="DO155" s="213"/>
      <c r="DP155" s="213"/>
      <c r="DQ155" s="213"/>
      <c r="DR155" s="213"/>
      <c r="DS155" s="213"/>
      <c r="DT155" s="213"/>
      <c r="DU155" s="213"/>
      <c r="DV155" s="213"/>
      <c r="DW155" s="213"/>
      <c r="DX155" s="38"/>
      <c r="DY155" s="38"/>
      <c r="DZ155" s="38"/>
      <c r="EA155" s="546"/>
      <c r="EC155" s="38"/>
      <c r="ED155" s="38"/>
    </row>
    <row r="156" spans="1:134" ht="13.5" thickBot="1">
      <c r="A156" s="217"/>
      <c r="B156" s="500"/>
      <c r="C156" s="570" t="s">
        <v>10</v>
      </c>
      <c r="D156" s="571"/>
      <c r="E156" s="571"/>
      <c r="F156" s="539"/>
      <c r="G156" s="540"/>
      <c r="H156" s="540"/>
      <c r="I156" s="540"/>
      <c r="J156" s="540"/>
      <c r="K156" s="540"/>
      <c r="L156" s="540"/>
      <c r="M156" s="540"/>
      <c r="N156" s="540"/>
      <c r="O156" s="540"/>
      <c r="P156" s="540"/>
      <c r="Q156" s="540"/>
      <c r="R156" s="540"/>
      <c r="S156" s="540"/>
      <c r="T156" s="540"/>
      <c r="U156" s="540"/>
      <c r="V156" s="540"/>
      <c r="W156" s="540"/>
      <c r="X156" s="540"/>
      <c r="Y156" s="205"/>
      <c r="Z156" s="205"/>
      <c r="AA156" s="205"/>
      <c r="AB156" s="205"/>
      <c r="AC156" s="38"/>
      <c r="AD156" s="205"/>
      <c r="AE156" s="205"/>
      <c r="AF156" s="205"/>
      <c r="AG156" s="205"/>
      <c r="AH156" s="205"/>
      <c r="AI156" s="205"/>
      <c r="AJ156" s="205"/>
      <c r="AK156" s="205"/>
      <c r="AL156" s="205"/>
      <c r="AM156" s="205"/>
      <c r="AN156" s="205"/>
      <c r="AO156" s="205"/>
      <c r="AP156" s="205"/>
      <c r="AQ156" s="205"/>
      <c r="AR156" s="205"/>
      <c r="AS156" s="205"/>
      <c r="AT156" s="205"/>
      <c r="AU156" s="205"/>
      <c r="AV156" s="41"/>
      <c r="AW156" s="41"/>
      <c r="AX156" s="41"/>
      <c r="AY156" s="41"/>
      <c r="AZ156" s="41"/>
      <c r="BA156" s="41"/>
      <c r="BB156" s="260"/>
      <c r="BC156" s="260"/>
      <c r="BD156" s="260"/>
      <c r="BE156" s="205"/>
      <c r="BF156" s="40"/>
      <c r="BG156" s="40"/>
      <c r="BH156" s="631"/>
      <c r="BI156" s="277" t="s">
        <v>805</v>
      </c>
      <c r="BJ156" s="277"/>
      <c r="BK156" s="276"/>
      <c r="BL156" s="277"/>
      <c r="BM156" s="599" t="s">
        <v>734</v>
      </c>
      <c r="BN156" s="602"/>
      <c r="BO156" s="602"/>
      <c r="BP156" s="602"/>
      <c r="BQ156" s="602"/>
      <c r="BR156" s="602"/>
      <c r="BS156" s="602"/>
      <c r="BT156" s="602"/>
      <c r="BU156" s="602"/>
      <c r="BV156" s="602"/>
      <c r="BW156" s="205"/>
      <c r="BY156" s="205"/>
      <c r="BZ156" s="205"/>
      <c r="CA156" s="205"/>
      <c r="CB156" s="205"/>
      <c r="CC156" s="205"/>
      <c r="CD156" s="205"/>
      <c r="CE156" s="205"/>
      <c r="CF156" s="205"/>
      <c r="CG156" s="205"/>
      <c r="CH156" s="205"/>
      <c r="CI156" s="38"/>
      <c r="CJ156" s="205"/>
      <c r="CK156" s="205"/>
      <c r="CL156" s="205"/>
      <c r="CM156" s="205"/>
      <c r="CN156" s="205"/>
      <c r="CO156" s="38"/>
      <c r="CP156" s="205"/>
      <c r="CQ156" s="205"/>
      <c r="CR156" s="205"/>
      <c r="CS156" s="205"/>
      <c r="CT156" s="41"/>
      <c r="CU156" s="183"/>
      <c r="CV156" s="41"/>
      <c r="CW156" s="41"/>
      <c r="CX156" s="41"/>
      <c r="CY156" s="41"/>
      <c r="CZ156" s="41"/>
      <c r="DA156" s="38"/>
      <c r="DB156" s="40"/>
      <c r="DC156" s="40"/>
      <c r="DD156" s="247"/>
      <c r="DE156" s="210"/>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546"/>
      <c r="EB156" s="38"/>
      <c r="EC156" s="38"/>
      <c r="ED156" s="38"/>
    </row>
    <row r="157" spans="1:134" ht="26.25" customHeight="1" thickBot="1">
      <c r="A157" s="38"/>
      <c r="B157" s="501"/>
      <c r="C157" s="632" t="s">
        <v>746</v>
      </c>
      <c r="D157" s="578"/>
      <c r="E157" s="578"/>
      <c r="F157" s="578"/>
      <c r="G157" s="579"/>
      <c r="H157" s="545"/>
      <c r="I157" s="575"/>
      <c r="J157" s="575"/>
      <c r="K157" s="575"/>
      <c r="L157" s="575"/>
      <c r="M157" s="544"/>
      <c r="N157" s="575"/>
      <c r="O157" s="575"/>
      <c r="P157" s="575"/>
      <c r="Q157" s="575"/>
      <c r="R157" s="607" t="s">
        <v>749</v>
      </c>
      <c r="S157" s="633"/>
      <c r="T157" s="493"/>
      <c r="U157" s="493"/>
      <c r="V157" s="575"/>
      <c r="W157" s="575"/>
      <c r="X157" s="576"/>
      <c r="Y157" s="577" t="s">
        <v>640</v>
      </c>
      <c r="Z157" s="578"/>
      <c r="AA157" s="578"/>
      <c r="AB157" s="578"/>
      <c r="AC157" s="578"/>
      <c r="AD157" s="579"/>
      <c r="AE157" s="572"/>
      <c r="AF157" s="573"/>
      <c r="AG157" s="573"/>
      <c r="AH157" s="573"/>
      <c r="AI157" s="573"/>
      <c r="AJ157" s="573"/>
      <c r="AK157" s="573"/>
      <c r="AL157" s="573"/>
      <c r="AM157" s="573"/>
      <c r="AN157" s="573"/>
      <c r="AO157" s="573"/>
      <c r="AP157" s="573"/>
      <c r="AQ157" s="573"/>
      <c r="AR157" s="573"/>
      <c r="AS157" s="573"/>
      <c r="AT157" s="573"/>
      <c r="AU157" s="573"/>
      <c r="AV157" s="574"/>
      <c r="AW157" s="569" t="s">
        <v>759</v>
      </c>
      <c r="AX157" s="561"/>
      <c r="AY157" s="561"/>
      <c r="AZ157" s="561"/>
      <c r="BA157" s="561"/>
      <c r="BB157" s="562"/>
      <c r="BC157" s="557" t="s">
        <v>758</v>
      </c>
      <c r="BD157" s="558"/>
      <c r="BE157" s="558"/>
      <c r="BF157" s="558"/>
      <c r="BG157" s="558"/>
      <c r="BH157" s="559"/>
      <c r="BI157" s="634" t="s">
        <v>764</v>
      </c>
      <c r="BJ157" s="635"/>
      <c r="BK157" s="635"/>
      <c r="BL157" s="635"/>
      <c r="BM157" s="635"/>
      <c r="BN157" s="636"/>
      <c r="BO157" s="637"/>
      <c r="BP157" s="493"/>
      <c r="BQ157" s="493"/>
      <c r="BR157" s="493"/>
      <c r="BS157" s="493"/>
      <c r="BT157" s="638"/>
      <c r="BU157" s="639" t="s">
        <v>640</v>
      </c>
      <c r="BV157" s="640"/>
      <c r="BW157" s="640"/>
      <c r="BX157" s="640"/>
      <c r="BY157" s="640"/>
      <c r="BZ157" s="641"/>
      <c r="CA157" s="642"/>
      <c r="CB157" s="642"/>
      <c r="CC157" s="555"/>
      <c r="CD157" s="555"/>
      <c r="CE157" s="555"/>
      <c r="CF157" s="555"/>
      <c r="CG157" s="489"/>
      <c r="CH157" s="489"/>
      <c r="CI157" s="555"/>
      <c r="CJ157" s="555"/>
      <c r="CK157" s="555"/>
      <c r="CL157" s="555"/>
      <c r="CM157" s="489"/>
      <c r="CN157" s="489"/>
      <c r="CO157" s="555"/>
      <c r="CP157" s="555"/>
      <c r="CQ157" s="555"/>
      <c r="CR157" s="556"/>
      <c r="CS157" s="560" t="s">
        <v>759</v>
      </c>
      <c r="CT157" s="561"/>
      <c r="CU157" s="561"/>
      <c r="CV157" s="561"/>
      <c r="CW157" s="561"/>
      <c r="CX157" s="562"/>
      <c r="CY157" s="557" t="s">
        <v>758</v>
      </c>
      <c r="CZ157" s="558"/>
      <c r="DA157" s="558"/>
      <c r="DB157" s="558"/>
      <c r="DC157" s="558"/>
      <c r="DD157" s="559"/>
      <c r="DE157" s="535"/>
      <c r="DF157" s="535"/>
      <c r="DG157" s="541" t="s">
        <v>8</v>
      </c>
      <c r="DH157" s="541"/>
      <c r="DI157" s="541"/>
      <c r="DJ157" s="542"/>
      <c r="DK157" s="489"/>
      <c r="DL157" s="489"/>
      <c r="DM157" s="541" t="s">
        <v>116</v>
      </c>
      <c r="DN157" s="541"/>
      <c r="DO157" s="541"/>
      <c r="DP157" s="542"/>
      <c r="DQ157" s="554" t="s">
        <v>737</v>
      </c>
      <c r="DR157" s="555"/>
      <c r="DS157" s="555"/>
      <c r="DT157" s="555"/>
      <c r="DU157" s="555"/>
      <c r="DV157" s="556"/>
      <c r="DW157" s="38"/>
      <c r="DX157" s="38"/>
      <c r="DY157" s="38"/>
      <c r="DZ157" s="38"/>
      <c r="EA157" s="546"/>
      <c r="EB157" s="38"/>
      <c r="EC157" s="38"/>
      <c r="ED157" s="38"/>
    </row>
    <row r="158" spans="1:134" ht="13.5" thickBot="1">
      <c r="A158" s="405" t="s">
        <v>497</v>
      </c>
      <c r="B158" s="406" t="s">
        <v>359</v>
      </c>
      <c r="C158" s="279">
        <v>2011</v>
      </c>
      <c r="D158" s="279">
        <v>2010</v>
      </c>
      <c r="E158" s="279">
        <v>2009</v>
      </c>
      <c r="F158" s="279">
        <v>2008</v>
      </c>
      <c r="G158" s="361">
        <v>2007</v>
      </c>
      <c r="H158" s="643"/>
      <c r="I158" s="279"/>
      <c r="J158" s="279"/>
      <c r="K158" s="279"/>
      <c r="L158" s="279"/>
      <c r="M158" s="643"/>
      <c r="N158" s="279"/>
      <c r="O158" s="279"/>
      <c r="P158" s="279"/>
      <c r="Q158" s="279"/>
      <c r="R158" s="270">
        <v>2006</v>
      </c>
      <c r="S158" s="279"/>
      <c r="T158" s="279"/>
      <c r="U158" s="279"/>
      <c r="V158" s="279"/>
      <c r="W158" s="279"/>
      <c r="X158" s="361"/>
      <c r="Y158" s="279">
        <v>2011</v>
      </c>
      <c r="Z158" s="279">
        <v>2010</v>
      </c>
      <c r="AA158" s="279">
        <v>2009</v>
      </c>
      <c r="AB158" s="279">
        <v>2008</v>
      </c>
      <c r="AC158" s="279">
        <v>2007</v>
      </c>
      <c r="AD158" s="361">
        <v>2006</v>
      </c>
      <c r="AE158" s="279"/>
      <c r="AF158" s="279"/>
      <c r="AG158" s="279"/>
      <c r="AH158" s="279"/>
      <c r="AI158" s="279"/>
      <c r="AJ158" s="279"/>
      <c r="AK158" s="279"/>
      <c r="AL158" s="279"/>
      <c r="AM158" s="279"/>
      <c r="AN158" s="279"/>
      <c r="AO158" s="279"/>
      <c r="AP158" s="279"/>
      <c r="AQ158" s="279"/>
      <c r="AR158" s="279"/>
      <c r="AS158" s="504"/>
      <c r="AT158" s="504"/>
      <c r="AU158" s="504"/>
      <c r="AV158" s="409"/>
      <c r="AW158" s="279">
        <v>2011</v>
      </c>
      <c r="AX158" s="279">
        <v>2010</v>
      </c>
      <c r="AY158" s="279">
        <v>2009</v>
      </c>
      <c r="AZ158" s="279">
        <v>2008</v>
      </c>
      <c r="BA158" s="279">
        <v>2007</v>
      </c>
      <c r="BB158" s="280">
        <v>2006</v>
      </c>
      <c r="BC158" s="279">
        <v>2011</v>
      </c>
      <c r="BD158" s="279">
        <v>2010</v>
      </c>
      <c r="BE158" s="279">
        <v>2009</v>
      </c>
      <c r="BF158" s="279">
        <v>2008</v>
      </c>
      <c r="BG158" s="279">
        <v>2007</v>
      </c>
      <c r="BH158" s="280">
        <v>2006</v>
      </c>
      <c r="BI158" s="279">
        <v>2011</v>
      </c>
      <c r="BJ158" s="279">
        <v>2010</v>
      </c>
      <c r="BK158" s="279">
        <v>2009</v>
      </c>
      <c r="BL158" s="279">
        <v>2008</v>
      </c>
      <c r="BM158" s="279">
        <v>2007</v>
      </c>
      <c r="BN158" s="361">
        <v>2006</v>
      </c>
      <c r="BO158" s="279"/>
      <c r="BP158" s="279"/>
      <c r="BQ158" s="279"/>
      <c r="BR158" s="279"/>
      <c r="BS158" s="279"/>
      <c r="BT158" s="361"/>
      <c r="BU158" s="279">
        <v>2011</v>
      </c>
      <c r="BV158" s="279">
        <v>2010</v>
      </c>
      <c r="BW158" s="279">
        <v>2009</v>
      </c>
      <c r="BX158" s="279">
        <v>2008</v>
      </c>
      <c r="BY158" s="279">
        <v>2007</v>
      </c>
      <c r="BZ158" s="361">
        <v>2006</v>
      </c>
      <c r="CA158" s="279"/>
      <c r="CB158" s="279"/>
      <c r="CC158" s="279"/>
      <c r="CD158" s="279"/>
      <c r="CE158" s="279"/>
      <c r="CF158" s="279"/>
      <c r="CG158" s="279"/>
      <c r="CH158" s="279"/>
      <c r="CI158" s="279"/>
      <c r="CJ158" s="279"/>
      <c r="CK158" s="279"/>
      <c r="CL158" s="279"/>
      <c r="CM158" s="279"/>
      <c r="CN158" s="279"/>
      <c r="CO158" s="279"/>
      <c r="CP158" s="504"/>
      <c r="CQ158" s="504"/>
      <c r="CR158" s="518"/>
      <c r="CS158" s="279">
        <v>2011</v>
      </c>
      <c r="CT158" s="279">
        <v>2010</v>
      </c>
      <c r="CU158" s="279">
        <v>2009</v>
      </c>
      <c r="CV158" s="279">
        <v>2008</v>
      </c>
      <c r="CW158" s="279">
        <v>2007</v>
      </c>
      <c r="CX158" s="280">
        <v>2006</v>
      </c>
      <c r="CY158" s="279">
        <v>2011</v>
      </c>
      <c r="CZ158" s="279">
        <v>2010</v>
      </c>
      <c r="DA158" s="279">
        <v>2009</v>
      </c>
      <c r="DB158" s="279">
        <v>2008</v>
      </c>
      <c r="DC158" s="279">
        <v>2007</v>
      </c>
      <c r="DD158" s="280">
        <v>2006</v>
      </c>
      <c r="DE158" s="279">
        <v>2011</v>
      </c>
      <c r="DF158" s="279">
        <v>2010</v>
      </c>
      <c r="DG158" s="279">
        <v>2009</v>
      </c>
      <c r="DH158" s="279">
        <v>2008</v>
      </c>
      <c r="DI158" s="279">
        <v>2007</v>
      </c>
      <c r="DJ158" s="280">
        <v>2006</v>
      </c>
      <c r="DK158" s="279">
        <v>2011</v>
      </c>
      <c r="DL158" s="279">
        <v>2010</v>
      </c>
      <c r="DM158" s="279">
        <v>2009</v>
      </c>
      <c r="DN158" s="279">
        <v>2008</v>
      </c>
      <c r="DO158" s="279">
        <v>2007</v>
      </c>
      <c r="DP158" s="280">
        <v>2006</v>
      </c>
      <c r="DQ158" s="279">
        <v>2011</v>
      </c>
      <c r="DR158" s="279">
        <v>2010</v>
      </c>
      <c r="DS158" s="279">
        <v>2009</v>
      </c>
      <c r="DT158" s="279">
        <v>2008</v>
      </c>
      <c r="DU158" s="279">
        <v>2007</v>
      </c>
      <c r="DV158" s="280">
        <v>2006</v>
      </c>
      <c r="DW158" s="38"/>
      <c r="DX158" s="38"/>
      <c r="DY158" s="38"/>
      <c r="DZ158" s="38"/>
      <c r="EA158" s="546"/>
      <c r="EB158" s="38"/>
      <c r="EC158" s="38"/>
      <c r="ED158" s="38"/>
    </row>
    <row r="159" spans="1:134" ht="12.75">
      <c r="A159" s="209" t="s">
        <v>287</v>
      </c>
      <c r="B159" s="229">
        <f>Commerical!B157</f>
        <v>6</v>
      </c>
      <c r="C159" s="39">
        <v>221</v>
      </c>
      <c r="D159" s="41">
        <v>220</v>
      </c>
      <c r="E159" s="39">
        <v>243</v>
      </c>
      <c r="F159" s="398">
        <v>235</v>
      </c>
      <c r="G159" s="494">
        <v>251</v>
      </c>
      <c r="H159" s="401"/>
      <c r="I159" s="41"/>
      <c r="J159" s="41"/>
      <c r="K159" s="41"/>
      <c r="L159" s="41"/>
      <c r="M159" s="41"/>
      <c r="N159" s="41"/>
      <c r="O159" s="41"/>
      <c r="P159" s="41"/>
      <c r="Q159" s="41"/>
      <c r="R159" s="272">
        <v>232</v>
      </c>
      <c r="S159" s="41"/>
      <c r="T159" s="41"/>
      <c r="U159" s="41"/>
      <c r="V159" s="41"/>
      <c r="W159" s="41"/>
      <c r="X159" s="235"/>
      <c r="Y159" s="41">
        <v>82</v>
      </c>
      <c r="Z159" s="205">
        <v>95</v>
      </c>
      <c r="AA159" s="205">
        <v>136</v>
      </c>
      <c r="AB159" s="398">
        <v>93</v>
      </c>
      <c r="AC159" s="398">
        <v>132</v>
      </c>
      <c r="AD159" s="41">
        <v>151</v>
      </c>
      <c r="AE159" s="644"/>
      <c r="AF159" s="41"/>
      <c r="AG159" s="41"/>
      <c r="AH159" s="41"/>
      <c r="AI159" s="41"/>
      <c r="AJ159" s="41"/>
      <c r="AK159" s="41"/>
      <c r="AL159" s="41"/>
      <c r="AM159" s="210"/>
      <c r="AN159" s="210"/>
      <c r="AO159" s="210"/>
      <c r="AP159" s="16"/>
      <c r="AQ159" s="16"/>
      <c r="AR159" s="16"/>
      <c r="AS159" s="41"/>
      <c r="AT159" s="41"/>
      <c r="AU159" s="41"/>
      <c r="AV159" s="235"/>
      <c r="AW159" s="41">
        <f>C159+Y159</f>
        <v>303</v>
      </c>
      <c r="AX159" s="41">
        <f>D159+Z159</f>
        <v>315</v>
      </c>
      <c r="AY159" s="41">
        <f>E159+AA159</f>
        <v>379</v>
      </c>
      <c r="AZ159" s="41">
        <f>F159+AB159</f>
        <v>328</v>
      </c>
      <c r="BA159" s="41">
        <f>G159+AC159</f>
        <v>383</v>
      </c>
      <c r="BB159" s="237">
        <f>R159+AD159</f>
        <v>383</v>
      </c>
      <c r="BC159" s="41">
        <f aca="true" t="shared" si="198" ref="BC159:BH159">AW159*1000/0.45359237/$B159</f>
        <v>111333.44240336318</v>
      </c>
      <c r="BD159" s="41">
        <f t="shared" si="198"/>
        <v>115742.68764706072</v>
      </c>
      <c r="BE159" s="41">
        <f t="shared" si="198"/>
        <v>139258.66228011434</v>
      </c>
      <c r="BF159" s="41">
        <f t="shared" si="198"/>
        <v>120519.36999439973</v>
      </c>
      <c r="BG159" s="41">
        <f t="shared" si="198"/>
        <v>140728.41069468018</v>
      </c>
      <c r="BH159" s="237">
        <f t="shared" si="198"/>
        <v>140728.41069468018</v>
      </c>
      <c r="BI159" s="41"/>
      <c r="BJ159" s="41"/>
      <c r="BK159" s="41"/>
      <c r="BL159" s="41"/>
      <c r="BM159" s="41"/>
      <c r="BN159" s="235"/>
      <c r="BO159" s="41"/>
      <c r="BP159" s="41"/>
      <c r="BQ159" s="41"/>
      <c r="BR159" s="41"/>
      <c r="BS159" s="41"/>
      <c r="BT159" s="510"/>
      <c r="BU159" s="41">
        <v>53</v>
      </c>
      <c r="BV159" s="205">
        <v>43</v>
      </c>
      <c r="BW159" s="41">
        <v>214</v>
      </c>
      <c r="BX159" s="400">
        <v>108</v>
      </c>
      <c r="BY159" s="400">
        <v>154</v>
      </c>
      <c r="BZ159" s="235">
        <v>157</v>
      </c>
      <c r="CA159" s="41"/>
      <c r="CB159" s="41"/>
      <c r="CC159" s="41"/>
      <c r="CD159" s="41"/>
      <c r="CE159" s="41"/>
      <c r="CF159" s="41"/>
      <c r="CG159" s="41"/>
      <c r="CH159" s="41"/>
      <c r="CI159" s="39"/>
      <c r="CJ159" s="210"/>
      <c r="CK159" s="210"/>
      <c r="CL159" s="16"/>
      <c r="CM159" s="16"/>
      <c r="CN159" s="16"/>
      <c r="CO159" s="39"/>
      <c r="CP159" s="41"/>
      <c r="CQ159" s="41"/>
      <c r="CR159" s="237"/>
      <c r="CS159" s="41">
        <f aca="true" t="shared" si="199" ref="CS159:CX159">BI159+BU159</f>
        <v>53</v>
      </c>
      <c r="CT159" s="41">
        <f t="shared" si="199"/>
        <v>43</v>
      </c>
      <c r="CU159" s="41">
        <f t="shared" si="199"/>
        <v>214</v>
      </c>
      <c r="CV159" s="41">
        <f t="shared" si="199"/>
        <v>108</v>
      </c>
      <c r="CW159" s="41">
        <f t="shared" si="199"/>
        <v>154</v>
      </c>
      <c r="CX159" s="237">
        <f t="shared" si="199"/>
        <v>157</v>
      </c>
      <c r="CY159" s="41">
        <f aca="true" t="shared" si="200" ref="CY159:DD159">CS159*1000/0.45359237/$B159</f>
        <v>19474.16649299752</v>
      </c>
      <c r="CZ159" s="41">
        <f t="shared" si="200"/>
        <v>15799.795456582891</v>
      </c>
      <c r="DA159" s="41">
        <f t="shared" si="200"/>
        <v>78631.540179273</v>
      </c>
      <c r="DB159" s="41">
        <f t="shared" si="200"/>
        <v>39683.20719327796</v>
      </c>
      <c r="DC159" s="41">
        <f t="shared" si="200"/>
        <v>56585.31396078524</v>
      </c>
      <c r="DD159" s="237">
        <f t="shared" si="200"/>
        <v>57687.62527170963</v>
      </c>
      <c r="DE159" s="39">
        <f aca="true" t="shared" si="201" ref="DE159:DP159">AW159-CS159</f>
        <v>250</v>
      </c>
      <c r="DF159" s="39">
        <f t="shared" si="201"/>
        <v>272</v>
      </c>
      <c r="DG159" s="39">
        <f t="shared" si="201"/>
        <v>165</v>
      </c>
      <c r="DH159" s="39">
        <f t="shared" si="201"/>
        <v>220</v>
      </c>
      <c r="DI159" s="39">
        <f t="shared" si="201"/>
        <v>229</v>
      </c>
      <c r="DJ159" s="243">
        <f t="shared" si="201"/>
        <v>226</v>
      </c>
      <c r="DK159" s="39">
        <f t="shared" si="201"/>
        <v>91859.27591036566</v>
      </c>
      <c r="DL159" s="39">
        <f t="shared" si="201"/>
        <v>99942.89219047784</v>
      </c>
      <c r="DM159" s="39">
        <f t="shared" si="201"/>
        <v>60627.12210084134</v>
      </c>
      <c r="DN159" s="39">
        <f t="shared" si="201"/>
        <v>80836.16280112177</v>
      </c>
      <c r="DO159" s="39">
        <f t="shared" si="201"/>
        <v>84143.09673389493</v>
      </c>
      <c r="DP159" s="243">
        <f t="shared" si="201"/>
        <v>83040.78542297054</v>
      </c>
      <c r="DQ159" s="39">
        <f>DK159+Commerical!I157</f>
        <v>91859.27591036566</v>
      </c>
      <c r="DR159" s="39">
        <f>DL159+Commerical!J157</f>
        <v>99942.89219047784</v>
      </c>
      <c r="DS159" s="39">
        <f>DM159+Commerical!K157</f>
        <v>60627.12210084134</v>
      </c>
      <c r="DT159" s="39">
        <f>DN159+Commerical!L157</f>
        <v>80836.16280112177</v>
      </c>
      <c r="DU159" s="39">
        <f>DO159+Commerical!M157</f>
        <v>84143.09673389493</v>
      </c>
      <c r="DV159" s="243">
        <f>DP159+Commerical!N157</f>
        <v>83040.78542297054</v>
      </c>
      <c r="DW159" s="39"/>
      <c r="DX159" s="39"/>
      <c r="DY159" s="38"/>
      <c r="DZ159" s="38"/>
      <c r="EA159" s="546"/>
      <c r="EB159" s="38"/>
      <c r="EC159" s="38"/>
      <c r="ED159" s="38"/>
    </row>
    <row r="160" spans="1:146" ht="12.75">
      <c r="A160" s="88" t="s">
        <v>288</v>
      </c>
      <c r="B160" s="29">
        <f>Commerical!B158</f>
        <v>0.290625</v>
      </c>
      <c r="C160" s="41"/>
      <c r="E160" s="41"/>
      <c r="F160" s="41"/>
      <c r="G160" s="235"/>
      <c r="H160" s="41"/>
      <c r="I160" s="205"/>
      <c r="J160" s="205"/>
      <c r="K160" s="205"/>
      <c r="L160" s="205"/>
      <c r="M160" s="205"/>
      <c r="N160" s="205"/>
      <c r="O160" s="205"/>
      <c r="P160" s="205"/>
      <c r="Q160" s="205"/>
      <c r="R160" s="271"/>
      <c r="S160" s="205"/>
      <c r="T160" s="205"/>
      <c r="U160" s="205"/>
      <c r="V160" s="205"/>
      <c r="W160" s="205"/>
      <c r="X160" s="216"/>
      <c r="Y160" s="205"/>
      <c r="Z160" s="41"/>
      <c r="AA160" s="41"/>
      <c r="AB160" s="205"/>
      <c r="AC160" s="38"/>
      <c r="AD160" s="41"/>
      <c r="AE160" s="616"/>
      <c r="AF160" s="205"/>
      <c r="AG160" s="205"/>
      <c r="AH160" s="205"/>
      <c r="AI160" s="205"/>
      <c r="AJ160" s="205"/>
      <c r="AK160" s="205"/>
      <c r="AL160" s="205"/>
      <c r="AM160" s="41"/>
      <c r="AN160" s="41"/>
      <c r="AO160" s="41"/>
      <c r="AP160" s="38"/>
      <c r="AQ160" s="38"/>
      <c r="AR160" s="38"/>
      <c r="AS160" s="205"/>
      <c r="AT160" s="205"/>
      <c r="AU160" s="205"/>
      <c r="AV160" s="235"/>
      <c r="AW160" s="41"/>
      <c r="AX160" s="41"/>
      <c r="AY160" s="41"/>
      <c r="AZ160" s="41"/>
      <c r="BA160" s="41"/>
      <c r="BB160" s="237"/>
      <c r="BC160" s="41"/>
      <c r="BD160" s="41"/>
      <c r="BE160" s="210"/>
      <c r="BF160" s="41"/>
      <c r="BG160" s="41"/>
      <c r="BH160" s="237"/>
      <c r="BI160" s="41"/>
      <c r="BJ160" s="41"/>
      <c r="BK160" s="41"/>
      <c r="BL160" s="41"/>
      <c r="BM160" s="41"/>
      <c r="BN160" s="216"/>
      <c r="BO160" s="205"/>
      <c r="BP160" s="205"/>
      <c r="BQ160" s="205"/>
      <c r="BR160" s="205"/>
      <c r="BS160" s="205"/>
      <c r="BT160" s="216"/>
      <c r="BU160" s="205"/>
      <c r="BV160" s="205"/>
      <c r="BW160" s="205"/>
      <c r="BX160" s="205"/>
      <c r="BY160" s="205"/>
      <c r="BZ160" s="235"/>
      <c r="CA160" s="41"/>
      <c r="CB160" s="41"/>
      <c r="CC160" s="205"/>
      <c r="CD160" s="205"/>
      <c r="CE160" s="205"/>
      <c r="CF160" s="205"/>
      <c r="CG160" s="205"/>
      <c r="CH160" s="205"/>
      <c r="CI160" s="39"/>
      <c r="CJ160" s="41"/>
      <c r="CK160" s="41"/>
      <c r="CL160" s="38"/>
      <c r="CM160" s="38"/>
      <c r="CN160" s="38"/>
      <c r="CO160" s="39"/>
      <c r="CP160" s="205"/>
      <c r="CQ160" s="205"/>
      <c r="CR160" s="282"/>
      <c r="CS160" s="205"/>
      <c r="CT160" s="41"/>
      <c r="CU160" s="41"/>
      <c r="CV160" s="41"/>
      <c r="CW160" s="41"/>
      <c r="CX160" s="237"/>
      <c r="CY160" s="41"/>
      <c r="CZ160" s="41"/>
      <c r="DA160" s="41"/>
      <c r="DB160" s="41"/>
      <c r="DC160" s="41"/>
      <c r="DD160" s="237"/>
      <c r="DE160" s="41"/>
      <c r="DF160" s="39"/>
      <c r="DG160" s="39"/>
      <c r="DH160" s="39"/>
      <c r="DI160" s="39"/>
      <c r="DJ160" s="243"/>
      <c r="DK160" s="39"/>
      <c r="DL160" s="39"/>
      <c r="DM160" s="39"/>
      <c r="DN160" s="39"/>
      <c r="DO160" s="39"/>
      <c r="DP160" s="243"/>
      <c r="DQ160" s="39">
        <f>DK160+Commerical!I158</f>
        <v>15707526.88172043</v>
      </c>
      <c r="DR160" s="39">
        <f>DL160+Commerical!J158</f>
        <v>14362150.537634408</v>
      </c>
      <c r="DS160" s="39">
        <f>DM160+Commerical!K158</f>
        <v>19647311.82795699</v>
      </c>
      <c r="DT160" s="39">
        <f>DN160+Commerical!L158</f>
        <v>25207741.93548387</v>
      </c>
      <c r="DU160" s="39">
        <f>DO160+Commerical!M158</f>
        <v>33214623.655913975</v>
      </c>
      <c r="DV160" s="243">
        <f>DP160+Commerical!N158</f>
        <v>29990537.6344086</v>
      </c>
      <c r="DW160" s="138"/>
      <c r="DX160" s="39"/>
      <c r="DY160" s="38"/>
      <c r="DZ160" s="38"/>
      <c r="EA160" s="546"/>
      <c r="EB160" s="38"/>
      <c r="EC160" s="38"/>
      <c r="ED160" s="38"/>
      <c r="EP160" s="623"/>
    </row>
    <row r="161" spans="1:146" ht="12.75">
      <c r="A161" s="88" t="s">
        <v>289</v>
      </c>
      <c r="B161" s="29">
        <f>Commerical!B159</f>
        <v>3.625</v>
      </c>
      <c r="C161" s="41"/>
      <c r="E161" s="41"/>
      <c r="F161" s="41"/>
      <c r="G161" s="235"/>
      <c r="H161" s="41"/>
      <c r="I161" s="205"/>
      <c r="J161" s="205"/>
      <c r="K161" s="205"/>
      <c r="L161" s="286"/>
      <c r="M161" s="626"/>
      <c r="N161" s="205"/>
      <c r="O161" s="205"/>
      <c r="P161" s="205"/>
      <c r="Q161" s="205"/>
      <c r="R161" s="271"/>
      <c r="S161" s="205"/>
      <c r="T161" s="205"/>
      <c r="U161" s="205"/>
      <c r="V161" s="205"/>
      <c r="W161" s="205"/>
      <c r="X161" s="216"/>
      <c r="Y161" s="205"/>
      <c r="AB161" s="205"/>
      <c r="AC161" s="38"/>
      <c r="AD161" s="41"/>
      <c r="AE161" s="616"/>
      <c r="AF161" s="205"/>
      <c r="AG161" s="205"/>
      <c r="AH161" s="205"/>
      <c r="AI161" s="205"/>
      <c r="AJ161" s="205"/>
      <c r="AK161" s="205"/>
      <c r="AL161" s="205"/>
      <c r="AM161" s="41"/>
      <c r="AN161" s="41"/>
      <c r="AO161" s="41"/>
      <c r="AP161" s="38"/>
      <c r="AQ161" s="38"/>
      <c r="AR161" s="38"/>
      <c r="AS161" s="205"/>
      <c r="AT161" s="205"/>
      <c r="AU161" s="205"/>
      <c r="AV161" s="235"/>
      <c r="AW161" s="41"/>
      <c r="AX161" s="41"/>
      <c r="AY161" s="41"/>
      <c r="AZ161" s="41"/>
      <c r="BA161" s="41"/>
      <c r="BB161" s="237"/>
      <c r="BC161" s="41"/>
      <c r="BD161" s="41"/>
      <c r="BE161" s="210"/>
      <c r="BF161" s="41"/>
      <c r="BG161" s="41"/>
      <c r="BH161" s="237"/>
      <c r="BI161" s="41"/>
      <c r="BJ161" s="41"/>
      <c r="BK161" s="41"/>
      <c r="BL161" s="41"/>
      <c r="BM161" s="41"/>
      <c r="BN161" s="216"/>
      <c r="BO161" s="205"/>
      <c r="BP161" s="205"/>
      <c r="BQ161" s="205"/>
      <c r="BR161" s="205"/>
      <c r="BS161" s="205"/>
      <c r="BT161" s="216"/>
      <c r="BU161" s="205"/>
      <c r="BV161" s="205"/>
      <c r="BW161" s="205"/>
      <c r="BX161" s="205"/>
      <c r="BY161" s="472"/>
      <c r="BZ161" s="513"/>
      <c r="CA161" s="344"/>
      <c r="CB161" s="344"/>
      <c r="CC161" s="205"/>
      <c r="CD161" s="205"/>
      <c r="CE161" s="205"/>
      <c r="CF161" s="205"/>
      <c r="CG161" s="205"/>
      <c r="CH161" s="205"/>
      <c r="CI161" s="39"/>
      <c r="CJ161" s="41"/>
      <c r="CK161" s="41"/>
      <c r="CL161" s="38"/>
      <c r="CM161" s="38"/>
      <c r="CN161" s="38"/>
      <c r="CO161" s="39"/>
      <c r="CP161" s="205"/>
      <c r="CQ161" s="205"/>
      <c r="CR161" s="282"/>
      <c r="CS161" s="205"/>
      <c r="CT161" s="41"/>
      <c r="CU161" s="41"/>
      <c r="CV161" s="41"/>
      <c r="CW161" s="41"/>
      <c r="CX161" s="237"/>
      <c r="CY161" s="41"/>
      <c r="CZ161" s="41"/>
      <c r="DA161" s="41"/>
      <c r="DB161" s="41"/>
      <c r="DC161" s="41"/>
      <c r="DD161" s="237"/>
      <c r="DE161" s="41"/>
      <c r="DF161" s="39"/>
      <c r="DG161" s="39"/>
      <c r="DH161" s="39"/>
      <c r="DI161" s="39"/>
      <c r="DJ161" s="243"/>
      <c r="DK161" s="39"/>
      <c r="DL161" s="39"/>
      <c r="DM161" s="39"/>
      <c r="DN161" s="39"/>
      <c r="DO161" s="39"/>
      <c r="DP161" s="243"/>
      <c r="DQ161" s="39">
        <f>DK161+Commerical!I159</f>
        <v>685241.3793103448</v>
      </c>
      <c r="DR161" s="39">
        <f>DL161+Commerical!J159</f>
        <v>766344.8275862068</v>
      </c>
      <c r="DS161" s="39">
        <f>DM161+Commerical!K159</f>
        <v>1213517.2413793104</v>
      </c>
      <c r="DT161" s="39">
        <f>DN161+Commerical!L159</f>
        <v>974896.551724138</v>
      </c>
      <c r="DU161" s="39">
        <f>DO161+Commerical!M159</f>
        <v>830620.6896551724</v>
      </c>
      <c r="DV161" s="243">
        <f>DP161+Commerical!N159</f>
        <v>690758.6206896552</v>
      </c>
      <c r="DW161" s="138"/>
      <c r="DX161" s="39"/>
      <c r="DY161" s="38"/>
      <c r="DZ161" s="38"/>
      <c r="EA161" s="546"/>
      <c r="EB161" s="38"/>
      <c r="EC161" s="38"/>
      <c r="ED161" s="38"/>
      <c r="EM161" s="623"/>
      <c r="EP161" s="623"/>
    </row>
    <row r="162" spans="1:146" ht="12.75">
      <c r="A162" s="88" t="s">
        <v>290</v>
      </c>
      <c r="B162" s="29">
        <f>Commerical!B160</f>
        <v>0.3</v>
      </c>
      <c r="C162" s="41"/>
      <c r="E162" s="41"/>
      <c r="F162" s="41"/>
      <c r="G162" s="235"/>
      <c r="H162" s="41"/>
      <c r="I162" s="205"/>
      <c r="J162" s="205"/>
      <c r="K162" s="205"/>
      <c r="L162" s="286"/>
      <c r="M162" s="626"/>
      <c r="N162" s="205"/>
      <c r="O162" s="205"/>
      <c r="P162" s="205"/>
      <c r="Q162" s="205"/>
      <c r="R162" s="271"/>
      <c r="S162" s="205"/>
      <c r="T162" s="205"/>
      <c r="U162" s="205"/>
      <c r="V162" s="205"/>
      <c r="W162" s="205"/>
      <c r="X162" s="216"/>
      <c r="Y162" s="205"/>
      <c r="AB162" s="205"/>
      <c r="AC162" s="38"/>
      <c r="AD162" s="41"/>
      <c r="AE162" s="616"/>
      <c r="AF162" s="205"/>
      <c r="AG162" s="205"/>
      <c r="AH162" s="205"/>
      <c r="AI162" s="205"/>
      <c r="AJ162" s="205"/>
      <c r="AK162" s="205"/>
      <c r="AL162" s="205"/>
      <c r="AM162" s="41"/>
      <c r="AN162" s="41"/>
      <c r="AO162" s="41"/>
      <c r="AP162" s="38"/>
      <c r="AQ162" s="38"/>
      <c r="AR162" s="38"/>
      <c r="AS162" s="205"/>
      <c r="AT162" s="205"/>
      <c r="AU162" s="205"/>
      <c r="AV162" s="235"/>
      <c r="AW162" s="41"/>
      <c r="AX162" s="41"/>
      <c r="AY162" s="41"/>
      <c r="AZ162" s="41"/>
      <c r="BA162" s="41"/>
      <c r="BB162" s="237"/>
      <c r="BC162" s="41"/>
      <c r="BD162" s="41"/>
      <c r="BE162" s="210"/>
      <c r="BF162" s="41"/>
      <c r="BG162" s="41"/>
      <c r="BH162" s="237"/>
      <c r="BI162" s="41"/>
      <c r="BJ162" s="41"/>
      <c r="BK162" s="41"/>
      <c r="BL162" s="41"/>
      <c r="BM162" s="41"/>
      <c r="BN162" s="216"/>
      <c r="BO162" s="205"/>
      <c r="BP162" s="205"/>
      <c r="BQ162" s="205"/>
      <c r="BR162" s="205"/>
      <c r="BS162" s="205"/>
      <c r="BT162" s="216"/>
      <c r="BU162" s="205"/>
      <c r="BV162" s="205"/>
      <c r="BW162" s="205"/>
      <c r="BX162" s="205"/>
      <c r="BY162" s="205"/>
      <c r="BZ162" s="235"/>
      <c r="CA162" s="41"/>
      <c r="CB162" s="41"/>
      <c r="CC162" s="205"/>
      <c r="CD162" s="205"/>
      <c r="CE162" s="205"/>
      <c r="CF162" s="205"/>
      <c r="CG162" s="205"/>
      <c r="CH162" s="205"/>
      <c r="CI162" s="39"/>
      <c r="CJ162" s="41"/>
      <c r="CK162" s="41"/>
      <c r="CL162" s="38"/>
      <c r="CM162" s="38"/>
      <c r="CN162" s="38"/>
      <c r="CO162" s="39"/>
      <c r="CP162" s="205"/>
      <c r="CQ162" s="205"/>
      <c r="CR162" s="282"/>
      <c r="CS162" s="205"/>
      <c r="CT162" s="41"/>
      <c r="CU162" s="41"/>
      <c r="CV162" s="41"/>
      <c r="CW162" s="41"/>
      <c r="CX162" s="237"/>
      <c r="CY162" s="41"/>
      <c r="CZ162" s="41"/>
      <c r="DA162" s="41"/>
      <c r="DB162" s="41"/>
      <c r="DC162" s="41"/>
      <c r="DD162" s="237"/>
      <c r="DE162" s="41"/>
      <c r="DF162" s="39"/>
      <c r="DG162" s="39"/>
      <c r="DH162" s="39"/>
      <c r="DI162" s="39"/>
      <c r="DJ162" s="243"/>
      <c r="DK162" s="39"/>
      <c r="DL162" s="39"/>
      <c r="DM162" s="39"/>
      <c r="DN162" s="39"/>
      <c r="DO162" s="39"/>
      <c r="DP162" s="243"/>
      <c r="DQ162" s="39">
        <f>DK162+Commerical!I160</f>
        <v>2550000</v>
      </c>
      <c r="DR162" s="39">
        <f>DL162+Commerical!J160</f>
        <v>3126666.666666667</v>
      </c>
      <c r="DS162" s="39">
        <f>DM162+Commerical!K160</f>
        <v>3943333.3333333335</v>
      </c>
      <c r="DT162" s="39">
        <f>DN162+Commerical!L160</f>
        <v>3616666.666666667</v>
      </c>
      <c r="DU162" s="39">
        <f>DO162+Commerical!M160</f>
        <v>4456666.666666667</v>
      </c>
      <c r="DV162" s="243">
        <f>DP162+Commerical!N160</f>
        <v>2976666.666666667</v>
      </c>
      <c r="DW162" s="138"/>
      <c r="DX162" s="39"/>
      <c r="DY162" s="38"/>
      <c r="DZ162" s="38"/>
      <c r="EA162" s="546"/>
      <c r="EB162" s="38"/>
      <c r="EC162" s="38"/>
      <c r="ED162" s="38"/>
      <c r="EM162" s="623"/>
      <c r="EP162" s="623"/>
    </row>
    <row r="163" spans="1:146" ht="12.75">
      <c r="A163" s="88" t="s">
        <v>291</v>
      </c>
      <c r="B163" s="29">
        <f>Commerical!B161</f>
        <v>0.40625</v>
      </c>
      <c r="C163" s="41"/>
      <c r="E163" s="41"/>
      <c r="F163" s="41"/>
      <c r="G163" s="235"/>
      <c r="H163" s="41"/>
      <c r="I163" s="205"/>
      <c r="J163" s="205"/>
      <c r="K163" s="205"/>
      <c r="L163" s="286"/>
      <c r="M163" s="626"/>
      <c r="N163" s="205"/>
      <c r="O163" s="205"/>
      <c r="P163" s="205"/>
      <c r="Q163" s="205"/>
      <c r="R163" s="271"/>
      <c r="S163" s="205"/>
      <c r="T163" s="205"/>
      <c r="U163" s="205"/>
      <c r="V163" s="398"/>
      <c r="W163" s="398"/>
      <c r="X163" s="235"/>
      <c r="Y163" s="41"/>
      <c r="AB163" s="205"/>
      <c r="AC163" s="38"/>
      <c r="AD163" s="41"/>
      <c r="AE163" s="616"/>
      <c r="AF163" s="205"/>
      <c r="AG163" s="205"/>
      <c r="AH163" s="205"/>
      <c r="AI163" s="205"/>
      <c r="AJ163" s="205"/>
      <c r="AK163" s="205"/>
      <c r="AL163" s="205"/>
      <c r="AM163" s="41"/>
      <c r="AN163" s="41"/>
      <c r="AO163" s="41"/>
      <c r="AP163" s="38"/>
      <c r="AQ163" s="38"/>
      <c r="AR163" s="38"/>
      <c r="AS163" s="205"/>
      <c r="AT163" s="205"/>
      <c r="AU163" s="205"/>
      <c r="AV163" s="235"/>
      <c r="AW163" s="41"/>
      <c r="AX163" s="41"/>
      <c r="AY163" s="41"/>
      <c r="AZ163" s="41"/>
      <c r="BA163" s="41"/>
      <c r="BB163" s="237"/>
      <c r="BC163" s="41"/>
      <c r="BD163" s="41"/>
      <c r="BE163" s="210"/>
      <c r="BF163" s="41"/>
      <c r="BG163" s="41"/>
      <c r="BH163" s="237"/>
      <c r="BI163" s="41"/>
      <c r="BJ163" s="41"/>
      <c r="BK163" s="41"/>
      <c r="BL163" s="41"/>
      <c r="BM163" s="41"/>
      <c r="BN163" s="216"/>
      <c r="BO163" s="205"/>
      <c r="BP163" s="205"/>
      <c r="BQ163" s="205"/>
      <c r="BR163" s="205"/>
      <c r="BS163" s="205"/>
      <c r="BT163" s="216"/>
      <c r="BU163" s="205"/>
      <c r="BV163" s="205"/>
      <c r="BW163" s="205"/>
      <c r="BX163" s="205"/>
      <c r="BY163" s="205"/>
      <c r="BZ163" s="235"/>
      <c r="CA163" s="41"/>
      <c r="CB163" s="41"/>
      <c r="CC163" s="205"/>
      <c r="CD163" s="205"/>
      <c r="CE163" s="205"/>
      <c r="CF163" s="205"/>
      <c r="CG163" s="205"/>
      <c r="CH163" s="205"/>
      <c r="CI163" s="39"/>
      <c r="CJ163" s="41"/>
      <c r="CK163" s="41"/>
      <c r="CL163" s="38"/>
      <c r="CM163" s="38"/>
      <c r="CN163" s="38"/>
      <c r="CO163" s="39"/>
      <c r="CP163" s="205"/>
      <c r="CQ163" s="205"/>
      <c r="CR163" s="282"/>
      <c r="CS163" s="205"/>
      <c r="CT163" s="41"/>
      <c r="CU163" s="41"/>
      <c r="CV163" s="41"/>
      <c r="CW163" s="41"/>
      <c r="CX163" s="237"/>
      <c r="CY163" s="41"/>
      <c r="CZ163" s="41"/>
      <c r="DA163" s="41"/>
      <c r="DB163" s="41"/>
      <c r="DC163" s="41"/>
      <c r="DD163" s="237"/>
      <c r="DE163" s="41"/>
      <c r="DF163" s="39"/>
      <c r="DG163" s="39"/>
      <c r="DH163" s="39"/>
      <c r="DI163" s="39"/>
      <c r="DJ163" s="243"/>
      <c r="DK163" s="39"/>
      <c r="DL163" s="39"/>
      <c r="DM163" s="39"/>
      <c r="DN163" s="39"/>
      <c r="DO163" s="39"/>
      <c r="DP163" s="243"/>
      <c r="DQ163" s="39">
        <f>DK163+Commerical!I161</f>
        <v>78205538.46153846</v>
      </c>
      <c r="DR163" s="39">
        <f>DL163+Commerical!J161</f>
        <v>86973538.46153846</v>
      </c>
      <c r="DS163" s="39">
        <f>DM163+Commerical!K161</f>
        <v>85929846.15384616</v>
      </c>
      <c r="DT163" s="39">
        <f>DN163+Commerical!L161</f>
        <v>84558769.23076923</v>
      </c>
      <c r="DU163" s="39">
        <f>DO163+Commerical!M161</f>
        <v>85361230.76923077</v>
      </c>
      <c r="DV163" s="243">
        <f>DP163+Commerical!N161</f>
        <v>78478769.23076923</v>
      </c>
      <c r="DW163" s="138"/>
      <c r="DX163" s="39"/>
      <c r="DY163" s="38"/>
      <c r="DZ163" s="38"/>
      <c r="EA163" s="546"/>
      <c r="EB163" s="38"/>
      <c r="EC163" s="38"/>
      <c r="ED163" s="38"/>
      <c r="EP163" s="623"/>
    </row>
    <row r="164" spans="1:146" ht="12.75">
      <c r="A164" s="88" t="s">
        <v>292</v>
      </c>
      <c r="B164" s="29">
        <f>Commerical!B162</f>
        <v>0.28</v>
      </c>
      <c r="C164" s="41"/>
      <c r="D164" s="41"/>
      <c r="E164" s="41"/>
      <c r="F164" s="41"/>
      <c r="G164" s="235"/>
      <c r="H164" s="41"/>
      <c r="I164" s="205"/>
      <c r="J164" s="205"/>
      <c r="K164" s="205"/>
      <c r="L164" s="286"/>
      <c r="M164" s="626"/>
      <c r="N164" s="205"/>
      <c r="O164" s="205"/>
      <c r="P164" s="205"/>
      <c r="Q164" s="205"/>
      <c r="R164" s="271"/>
      <c r="S164" s="205"/>
      <c r="T164" s="205"/>
      <c r="U164" s="205"/>
      <c r="V164" s="398"/>
      <c r="W164" s="397"/>
      <c r="X164" s="235"/>
      <c r="Y164" s="41"/>
      <c r="AB164" s="205"/>
      <c r="AC164" s="38"/>
      <c r="AD164" s="41"/>
      <c r="AE164" s="616"/>
      <c r="AF164" s="205"/>
      <c r="AG164" s="205"/>
      <c r="AH164" s="205"/>
      <c r="AI164" s="205"/>
      <c r="AJ164" s="205"/>
      <c r="AK164" s="205"/>
      <c r="AL164" s="205"/>
      <c r="AM164" s="41"/>
      <c r="AN164" s="41"/>
      <c r="AO164" s="41"/>
      <c r="AP164" s="38"/>
      <c r="AQ164" s="38"/>
      <c r="AR164" s="38"/>
      <c r="AS164" s="205"/>
      <c r="AT164" s="205"/>
      <c r="AU164" s="205"/>
      <c r="AV164" s="235"/>
      <c r="AW164" s="41"/>
      <c r="AX164" s="41"/>
      <c r="AY164" s="41"/>
      <c r="AZ164" s="41"/>
      <c r="BA164" s="41"/>
      <c r="BB164" s="237"/>
      <c r="BC164" s="41"/>
      <c r="BD164" s="41"/>
      <c r="BE164" s="210"/>
      <c r="BF164" s="41"/>
      <c r="BG164" s="41"/>
      <c r="BH164" s="237"/>
      <c r="BI164" s="41"/>
      <c r="BJ164" s="41"/>
      <c r="BK164" s="41"/>
      <c r="BL164" s="41"/>
      <c r="BM164" s="41"/>
      <c r="BN164" s="216"/>
      <c r="BO164" s="205"/>
      <c r="BP164" s="205"/>
      <c r="BQ164" s="205"/>
      <c r="BR164" s="205"/>
      <c r="BS164" s="205"/>
      <c r="BT164" s="216"/>
      <c r="BU164" s="205"/>
      <c r="BV164" s="205"/>
      <c r="BW164" s="205"/>
      <c r="BX164" s="205"/>
      <c r="BY164" s="205"/>
      <c r="BZ164" s="235"/>
      <c r="CA164" s="41"/>
      <c r="CB164" s="41"/>
      <c r="CC164" s="205"/>
      <c r="CD164" s="205"/>
      <c r="CE164" s="205"/>
      <c r="CF164" s="205"/>
      <c r="CG164" s="205"/>
      <c r="CH164" s="205"/>
      <c r="CI164" s="39"/>
      <c r="CJ164" s="41"/>
      <c r="CK164" s="41"/>
      <c r="CL164" s="38"/>
      <c r="CM164" s="38"/>
      <c r="CN164" s="38"/>
      <c r="CO164" s="39"/>
      <c r="CP164" s="205"/>
      <c r="CQ164" s="205"/>
      <c r="CR164" s="282"/>
      <c r="CS164" s="205"/>
      <c r="CT164" s="41"/>
      <c r="CU164" s="41"/>
      <c r="CV164" s="41"/>
      <c r="CW164" s="41"/>
      <c r="CX164" s="237"/>
      <c r="CY164" s="41"/>
      <c r="CZ164" s="41"/>
      <c r="DA164" s="41"/>
      <c r="DB164" s="41"/>
      <c r="DC164" s="41"/>
      <c r="DD164" s="237"/>
      <c r="DE164" s="41"/>
      <c r="DF164" s="39"/>
      <c r="DG164" s="39"/>
      <c r="DH164" s="39"/>
      <c r="DI164" s="39"/>
      <c r="DJ164" s="243"/>
      <c r="DK164" s="39"/>
      <c r="DL164" s="39"/>
      <c r="DM164" s="39"/>
      <c r="DN164" s="39"/>
      <c r="DO164" s="39"/>
      <c r="DP164" s="243"/>
      <c r="DQ164" s="39">
        <f>DK164+Commerical!I162</f>
        <v>16082142.857142856</v>
      </c>
      <c r="DR164" s="39">
        <f>DL164+Commerical!J162</f>
        <v>15174999.999999998</v>
      </c>
      <c r="DS164" s="39">
        <f>DM164+Commerical!K162</f>
        <v>13760714.285714284</v>
      </c>
      <c r="DT164" s="39">
        <f>DN164+Commerical!L162</f>
        <v>13635714.285714284</v>
      </c>
      <c r="DU164" s="39">
        <f>DO164+Commerical!M162</f>
        <v>14096428.57142857</v>
      </c>
      <c r="DV164" s="243">
        <f>DP164+Commerical!N162</f>
        <v>13578571.428571427</v>
      </c>
      <c r="DW164" s="138"/>
      <c r="DX164" s="39"/>
      <c r="DY164" s="38"/>
      <c r="DZ164" s="38"/>
      <c r="EA164" s="546"/>
      <c r="EB164" s="38"/>
      <c r="EC164" s="38"/>
      <c r="ED164" s="38"/>
      <c r="EP164" s="623"/>
    </row>
    <row r="165" spans="1:146" ht="12.75">
      <c r="A165" s="88" t="s">
        <v>293</v>
      </c>
      <c r="B165" s="29">
        <f>Commerical!B163</f>
        <v>0.29</v>
      </c>
      <c r="C165" s="41"/>
      <c r="D165" s="41"/>
      <c r="E165" s="41"/>
      <c r="F165" s="41"/>
      <c r="G165" s="235"/>
      <c r="H165" s="41"/>
      <c r="I165" s="205"/>
      <c r="J165" s="205"/>
      <c r="K165" s="205"/>
      <c r="L165" s="286"/>
      <c r="M165" s="626"/>
      <c r="N165" s="205"/>
      <c r="O165" s="205"/>
      <c r="P165" s="205"/>
      <c r="Q165" s="205"/>
      <c r="R165" s="271"/>
      <c r="S165" s="205"/>
      <c r="T165" s="205"/>
      <c r="U165" s="205"/>
      <c r="V165" s="398"/>
      <c r="W165" s="398"/>
      <c r="X165" s="235"/>
      <c r="Y165" s="41"/>
      <c r="AB165" s="205"/>
      <c r="AC165" s="38"/>
      <c r="AD165" s="41"/>
      <c r="AE165" s="616"/>
      <c r="AF165" s="205"/>
      <c r="AG165" s="205"/>
      <c r="AH165" s="205"/>
      <c r="AI165" s="205"/>
      <c r="AJ165" s="205"/>
      <c r="AK165" s="205"/>
      <c r="AL165" s="205"/>
      <c r="AM165" s="41"/>
      <c r="AN165" s="41"/>
      <c r="AO165" s="41"/>
      <c r="AP165" s="38"/>
      <c r="AQ165" s="38"/>
      <c r="AR165" s="38"/>
      <c r="AS165" s="205"/>
      <c r="AT165" s="205"/>
      <c r="AU165" s="205"/>
      <c r="AV165" s="235"/>
      <c r="AW165" s="41"/>
      <c r="AX165" s="41"/>
      <c r="AY165" s="41"/>
      <c r="AZ165" s="41"/>
      <c r="BA165" s="41"/>
      <c r="BB165" s="237"/>
      <c r="BC165" s="41"/>
      <c r="BD165" s="41"/>
      <c r="BE165" s="210"/>
      <c r="BF165" s="41"/>
      <c r="BG165" s="41"/>
      <c r="BH165" s="237"/>
      <c r="BI165" s="41"/>
      <c r="BJ165" s="41"/>
      <c r="BK165" s="41"/>
      <c r="BL165" s="41"/>
      <c r="BM165" s="41"/>
      <c r="BN165" s="216"/>
      <c r="BO165" s="205"/>
      <c r="BP165" s="205"/>
      <c r="BQ165" s="205"/>
      <c r="BR165" s="205"/>
      <c r="BS165" s="205"/>
      <c r="BT165" s="216"/>
      <c r="BU165" s="205"/>
      <c r="BV165" s="205"/>
      <c r="BW165" s="205"/>
      <c r="BX165" s="205"/>
      <c r="BY165" s="205"/>
      <c r="BZ165" s="235"/>
      <c r="CA165" s="41"/>
      <c r="CB165" s="41"/>
      <c r="CC165" s="205"/>
      <c r="CD165" s="205"/>
      <c r="CE165" s="205"/>
      <c r="CF165" s="205"/>
      <c r="CG165" s="205"/>
      <c r="CH165" s="205"/>
      <c r="CI165" s="39"/>
      <c r="CJ165" s="41"/>
      <c r="CK165" s="41"/>
      <c r="CL165" s="38"/>
      <c r="CM165" s="38"/>
      <c r="CN165" s="38"/>
      <c r="CO165" s="39"/>
      <c r="CP165" s="205"/>
      <c r="CQ165" s="205"/>
      <c r="CR165" s="282"/>
      <c r="CS165" s="205"/>
      <c r="CT165" s="41"/>
      <c r="CU165" s="41"/>
      <c r="CV165" s="41"/>
      <c r="CW165" s="41"/>
      <c r="CX165" s="237"/>
      <c r="CY165" s="41"/>
      <c r="CZ165" s="41"/>
      <c r="DA165" s="41"/>
      <c r="DB165" s="41"/>
      <c r="DC165" s="41"/>
      <c r="DD165" s="237"/>
      <c r="DE165" s="41"/>
      <c r="DF165" s="39"/>
      <c r="DG165" s="39"/>
      <c r="DH165" s="39"/>
      <c r="DI165" s="39"/>
      <c r="DJ165" s="243"/>
      <c r="DK165" s="39"/>
      <c r="DL165" s="39"/>
      <c r="DM165" s="39"/>
      <c r="DN165" s="39"/>
      <c r="DO165" s="39"/>
      <c r="DP165" s="243"/>
      <c r="DQ165" s="39">
        <f>DK165+Commerical!I163</f>
        <v>144868965.5172414</v>
      </c>
      <c r="DR165" s="39">
        <f>DL165+Commerical!J163</f>
        <v>140606896.55172414</v>
      </c>
      <c r="DS165" s="39">
        <f>DM165+Commerical!K163</f>
        <v>174624137.9310345</v>
      </c>
      <c r="DT165" s="39">
        <f>DN165+Commerical!L163</f>
        <v>197689655.1724138</v>
      </c>
      <c r="DU165" s="39">
        <f>DO165+Commerical!M163</f>
        <v>216631034.48275864</v>
      </c>
      <c r="DV165" s="243">
        <f>DP165+Commerical!N163</f>
        <v>206600000</v>
      </c>
      <c r="DW165" s="138"/>
      <c r="DX165" s="39"/>
      <c r="DY165" s="38"/>
      <c r="DZ165" s="38"/>
      <c r="EA165" s="546"/>
      <c r="EB165" s="38"/>
      <c r="EC165" s="38"/>
      <c r="ED165" s="38"/>
      <c r="EP165" s="623"/>
    </row>
    <row r="166" spans="1:146" ht="13.5">
      <c r="A166" s="88" t="s">
        <v>294</v>
      </c>
      <c r="B166" s="29">
        <f>Commerical!B164</f>
        <v>0.7611458333333333</v>
      </c>
      <c r="C166" s="41"/>
      <c r="E166" s="41"/>
      <c r="F166" s="41"/>
      <c r="G166" s="235"/>
      <c r="H166" s="41"/>
      <c r="I166" s="205"/>
      <c r="J166" s="205"/>
      <c r="K166" s="205"/>
      <c r="L166" s="205"/>
      <c r="M166" s="205"/>
      <c r="N166" s="205"/>
      <c r="O166" s="205"/>
      <c r="P166" s="205"/>
      <c r="Q166" s="205"/>
      <c r="R166" s="271"/>
      <c r="S166" s="205"/>
      <c r="T166" s="205"/>
      <c r="U166" s="205"/>
      <c r="V166" s="402"/>
      <c r="X166" s="235"/>
      <c r="Y166" s="41"/>
      <c r="Z166" s="41"/>
      <c r="AA166" s="41"/>
      <c r="AB166" s="205"/>
      <c r="AC166" s="38"/>
      <c r="AD166" s="41"/>
      <c r="AE166" s="616"/>
      <c r="AF166" s="205"/>
      <c r="AG166" s="205"/>
      <c r="AH166" s="205"/>
      <c r="AI166" s="205"/>
      <c r="AJ166" s="205"/>
      <c r="AK166" s="205"/>
      <c r="AL166" s="205"/>
      <c r="AM166" s="41"/>
      <c r="AN166" s="41"/>
      <c r="AO166" s="41"/>
      <c r="AP166" s="38"/>
      <c r="AQ166" s="38"/>
      <c r="AR166" s="38"/>
      <c r="AS166" s="205"/>
      <c r="AT166" s="205"/>
      <c r="AU166" s="205"/>
      <c r="AV166" s="235"/>
      <c r="AW166" s="41"/>
      <c r="AX166" s="41"/>
      <c r="AY166" s="41"/>
      <c r="AZ166" s="41"/>
      <c r="BA166" s="41"/>
      <c r="BB166" s="237"/>
      <c r="BC166" s="41"/>
      <c r="BD166" s="41"/>
      <c r="BE166" s="210"/>
      <c r="BF166" s="41"/>
      <c r="BG166" s="41"/>
      <c r="BH166" s="237"/>
      <c r="BI166" s="41"/>
      <c r="BJ166" s="41"/>
      <c r="BK166" s="41"/>
      <c r="BL166" s="41"/>
      <c r="BM166" s="41"/>
      <c r="BN166" s="216"/>
      <c r="BO166" s="205"/>
      <c r="BP166" s="205"/>
      <c r="BQ166" s="205"/>
      <c r="BR166" s="205"/>
      <c r="BS166" s="205"/>
      <c r="BT166" s="216"/>
      <c r="BU166" s="205"/>
      <c r="BV166" s="205"/>
      <c r="BW166" s="205"/>
      <c r="BX166" s="205"/>
      <c r="BY166" s="205"/>
      <c r="BZ166" s="235"/>
      <c r="CA166" s="41"/>
      <c r="CB166" s="41"/>
      <c r="CC166" s="205"/>
      <c r="CD166" s="205"/>
      <c r="CE166" s="205"/>
      <c r="CF166" s="205"/>
      <c r="CG166" s="205"/>
      <c r="CH166" s="205"/>
      <c r="CI166" s="39"/>
      <c r="CJ166" s="41"/>
      <c r="CK166" s="41"/>
      <c r="CL166" s="38"/>
      <c r="CM166" s="38"/>
      <c r="CN166" s="38"/>
      <c r="CO166" s="39"/>
      <c r="CP166" s="205"/>
      <c r="CQ166" s="205"/>
      <c r="CR166" s="282"/>
      <c r="CS166" s="205"/>
      <c r="CT166" s="41"/>
      <c r="CU166" s="41"/>
      <c r="CV166" s="41"/>
      <c r="CW166" s="41"/>
      <c r="CX166" s="237"/>
      <c r="CY166" s="41"/>
      <c r="CZ166" s="41"/>
      <c r="DA166" s="41"/>
      <c r="DB166" s="41"/>
      <c r="DC166" s="41"/>
      <c r="DD166" s="237"/>
      <c r="DE166" s="41"/>
      <c r="DF166" s="39"/>
      <c r="DG166" s="39"/>
      <c r="DH166" s="39"/>
      <c r="DI166" s="39"/>
      <c r="DJ166" s="243"/>
      <c r="DK166" s="39"/>
      <c r="DL166" s="39"/>
      <c r="DM166" s="39"/>
      <c r="DN166" s="39"/>
      <c r="DO166" s="39"/>
      <c r="DP166" s="243"/>
      <c r="DQ166" s="39">
        <f>DK166+Commerical!I164</f>
        <v>458519.2281374025</v>
      </c>
      <c r="DR166" s="39">
        <f>DL166+Commerical!J164</f>
        <v>844778.9790611742</v>
      </c>
      <c r="DS166" s="39">
        <f>DM166+Commerical!K164</f>
        <v>580703.4350622691</v>
      </c>
      <c r="DT166" s="39">
        <f>DN166+Commerical!L164</f>
        <v>429615.4372519502</v>
      </c>
      <c r="DU166" s="39">
        <f>DO166+Commerical!M164</f>
        <v>524209.66196797596</v>
      </c>
      <c r="DV166" s="243">
        <f>DP166+Commerical!N164</f>
        <v>978787.464075544</v>
      </c>
      <c r="DW166" s="138"/>
      <c r="DX166" s="39"/>
      <c r="DY166" s="38"/>
      <c r="DZ166" s="38"/>
      <c r="EA166" s="546"/>
      <c r="EB166" s="38"/>
      <c r="EC166" s="38"/>
      <c r="ED166" s="38"/>
      <c r="EP166" s="623"/>
    </row>
    <row r="167" spans="1:146" ht="13.5">
      <c r="A167" s="88" t="s">
        <v>653</v>
      </c>
      <c r="B167" s="29">
        <f>SUM(Commerical!C158:H164)*1000/SUM(Commerical!I158:N164)</f>
        <v>0.33170252027128433</v>
      </c>
      <c r="C167" s="41">
        <v>14127</v>
      </c>
      <c r="D167" s="41">
        <v>12239</v>
      </c>
      <c r="E167" s="41">
        <v>11396</v>
      </c>
      <c r="F167" s="397">
        <v>8589</v>
      </c>
      <c r="G167" s="495">
        <v>7920</v>
      </c>
      <c r="H167" s="401"/>
      <c r="I167" s="41"/>
      <c r="J167" s="41"/>
      <c r="K167" s="41"/>
      <c r="L167" s="41"/>
      <c r="M167" s="41"/>
      <c r="N167" s="205"/>
      <c r="O167" s="205"/>
      <c r="P167" s="205"/>
      <c r="Q167" s="41"/>
      <c r="R167" s="272">
        <v>9036</v>
      </c>
      <c r="S167" s="41"/>
      <c r="T167" s="41"/>
      <c r="U167" s="41"/>
      <c r="V167" s="398"/>
      <c r="X167" s="235"/>
      <c r="Y167" s="41">
        <v>6433</v>
      </c>
      <c r="Z167" s="164">
        <v>5970</v>
      </c>
      <c r="AA167" s="397">
        <v>5941</v>
      </c>
      <c r="AB167" s="397">
        <v>6693</v>
      </c>
      <c r="AC167" s="396">
        <v>6256</v>
      </c>
      <c r="AD167" s="38">
        <v>6799</v>
      </c>
      <c r="AE167" s="619"/>
      <c r="AF167" s="41"/>
      <c r="AG167" s="41"/>
      <c r="AH167" s="41"/>
      <c r="AI167" s="41"/>
      <c r="AJ167" s="41"/>
      <c r="AK167" s="41"/>
      <c r="AL167" s="41"/>
      <c r="AM167" s="41"/>
      <c r="AN167" s="41"/>
      <c r="AO167" s="41"/>
      <c r="AP167" s="38"/>
      <c r="AQ167" s="38"/>
      <c r="AR167" s="38"/>
      <c r="AS167" s="41"/>
      <c r="AT167" s="41"/>
      <c r="AU167" s="41"/>
      <c r="AV167" s="235"/>
      <c r="AW167" s="41">
        <f aca="true" t="shared" si="202" ref="AW167:BA168">C167+Y167</f>
        <v>20560</v>
      </c>
      <c r="AX167" s="41">
        <f t="shared" si="202"/>
        <v>18209</v>
      </c>
      <c r="AY167" s="41">
        <f t="shared" si="202"/>
        <v>17337</v>
      </c>
      <c r="AZ167" s="41">
        <f t="shared" si="202"/>
        <v>15282</v>
      </c>
      <c r="BA167" s="41">
        <f t="shared" si="202"/>
        <v>14176</v>
      </c>
      <c r="BB167" s="237">
        <f>R167+AD167</f>
        <v>15835</v>
      </c>
      <c r="BC167" s="41">
        <f>AW167*1000/0.45359237/$B167</f>
        <v>136649673.5332005</v>
      </c>
      <c r="BD167" s="41">
        <f>AX167*1000/0.45359237/$B167</f>
        <v>121024022.63453542</v>
      </c>
      <c r="BE167" s="41">
        <f aca="true" t="shared" si="203" ref="BE167:BH168">AY167*1000/0.45359237/$B167</f>
        <v>115228375.00219345</v>
      </c>
      <c r="BF167" s="41">
        <f t="shared" si="203"/>
        <v>101570054.03377287</v>
      </c>
      <c r="BG167" s="41">
        <f t="shared" si="203"/>
        <v>94219152.33495381</v>
      </c>
      <c r="BH167" s="237">
        <f t="shared" si="203"/>
        <v>105245504.88318239</v>
      </c>
      <c r="BI167" s="41">
        <f>3262+1229</f>
        <v>4491</v>
      </c>
      <c r="BJ167" s="41">
        <f>2705+1377</f>
        <v>4082</v>
      </c>
      <c r="BK167" s="41">
        <v>4064</v>
      </c>
      <c r="BL167" s="397">
        <v>3967</v>
      </c>
      <c r="BM167" s="397">
        <v>3433</v>
      </c>
      <c r="BN167" s="235">
        <v>3363</v>
      </c>
      <c r="BO167" s="41"/>
      <c r="BP167" s="41"/>
      <c r="BQ167" s="41"/>
      <c r="BR167" s="205"/>
      <c r="BT167" s="235"/>
      <c r="BU167" s="41">
        <v>1453</v>
      </c>
      <c r="BV167" s="205">
        <v>1358</v>
      </c>
      <c r="BW167" s="41">
        <v>1584</v>
      </c>
      <c r="BX167" s="401">
        <v>2187</v>
      </c>
      <c r="BY167" s="401">
        <v>2222</v>
      </c>
      <c r="BZ167" s="238">
        <v>2177</v>
      </c>
      <c r="CA167" s="38"/>
      <c r="CB167" s="38"/>
      <c r="CC167" s="41"/>
      <c r="CD167" s="41"/>
      <c r="CE167" s="41"/>
      <c r="CF167" s="41"/>
      <c r="CG167" s="41"/>
      <c r="CH167" s="41"/>
      <c r="CI167" s="39"/>
      <c r="CJ167" s="41"/>
      <c r="CK167" s="41"/>
      <c r="CL167" s="38"/>
      <c r="CM167" s="38"/>
      <c r="CN167" s="38"/>
      <c r="CO167" s="39"/>
      <c r="CP167" s="41"/>
      <c r="CQ167" s="41"/>
      <c r="CR167" s="237"/>
      <c r="CS167" s="41">
        <f aca="true" t="shared" si="204" ref="CS167:CX168">BI167+BU167</f>
        <v>5944</v>
      </c>
      <c r="CT167" s="41">
        <f t="shared" si="204"/>
        <v>5440</v>
      </c>
      <c r="CU167" s="41">
        <f t="shared" si="204"/>
        <v>5648</v>
      </c>
      <c r="CV167" s="41">
        <f t="shared" si="204"/>
        <v>6154</v>
      </c>
      <c r="CW167" s="41">
        <f t="shared" si="204"/>
        <v>5655</v>
      </c>
      <c r="CX167" s="237">
        <f t="shared" si="204"/>
        <v>5540</v>
      </c>
      <c r="CY167" s="41">
        <f>CS167*1000/0.45359237/$B167</f>
        <v>39506111.84247781</v>
      </c>
      <c r="CZ167" s="41">
        <f>CT167*1000/0.45359237/$B167</f>
        <v>36156333.853142545</v>
      </c>
      <c r="DA167" s="41">
        <f aca="true" t="shared" si="205" ref="DA167:DD168">CU167*1000/0.45359237/$B167</f>
        <v>37538781.91223329</v>
      </c>
      <c r="DB167" s="41">
        <f t="shared" si="205"/>
        <v>40901852.67136751</v>
      </c>
      <c r="DC167" s="41">
        <f t="shared" si="205"/>
        <v>37585306.606529616</v>
      </c>
      <c r="DD167" s="237">
        <f t="shared" si="205"/>
        <v>36820972.34309002</v>
      </c>
      <c r="DE167" s="39">
        <f aca="true" t="shared" si="206" ref="DE167:DP168">AW167-CS167</f>
        <v>14616</v>
      </c>
      <c r="DF167" s="39">
        <f t="shared" si="206"/>
        <v>12769</v>
      </c>
      <c r="DG167" s="39">
        <f t="shared" si="206"/>
        <v>11689</v>
      </c>
      <c r="DH167" s="39">
        <f t="shared" si="206"/>
        <v>9128</v>
      </c>
      <c r="DI167" s="39">
        <f t="shared" si="206"/>
        <v>8521</v>
      </c>
      <c r="DJ167" s="243">
        <f t="shared" si="206"/>
        <v>10295</v>
      </c>
      <c r="DK167" s="39">
        <f t="shared" si="206"/>
        <v>97143561.69072269</v>
      </c>
      <c r="DL167" s="39">
        <f t="shared" si="206"/>
        <v>84867688.78139287</v>
      </c>
      <c r="DM167" s="39">
        <f t="shared" si="206"/>
        <v>77689593.08996016</v>
      </c>
      <c r="DN167" s="39">
        <f t="shared" si="206"/>
        <v>60668201.36240536</v>
      </c>
      <c r="DO167" s="39">
        <f t="shared" si="206"/>
        <v>56633845.7284242</v>
      </c>
      <c r="DP167" s="243">
        <f t="shared" si="206"/>
        <v>68424532.54009238</v>
      </c>
      <c r="DQ167" s="39">
        <f>DK167+Commerical!I165</f>
        <v>97143561.69072269</v>
      </c>
      <c r="DR167" s="39">
        <f>DL167+Commerical!J165</f>
        <v>84867688.78139287</v>
      </c>
      <c r="DS167" s="39">
        <f>DM167+Commerical!K165</f>
        <v>77689593.08996016</v>
      </c>
      <c r="DT167" s="39">
        <f>DN167+Commerical!L165</f>
        <v>60668201.36240536</v>
      </c>
      <c r="DU167" s="39">
        <f>DO167+Commerical!M165</f>
        <v>56633845.7284242</v>
      </c>
      <c r="DV167" s="243">
        <f>DP167+Commerical!N165</f>
        <v>68424532.54009238</v>
      </c>
      <c r="DW167" s="138"/>
      <c r="DX167" s="39"/>
      <c r="DY167" s="38"/>
      <c r="DZ167" s="38"/>
      <c r="EA167" s="547"/>
      <c r="EB167" s="39"/>
      <c r="EC167" s="38"/>
      <c r="ED167" s="38"/>
      <c r="EP167" s="623"/>
    </row>
    <row r="168" spans="1:146" ht="12.75">
      <c r="A168" s="88" t="s">
        <v>295</v>
      </c>
      <c r="B168" s="29">
        <f>Commerical!B166</f>
        <v>0.4</v>
      </c>
      <c r="C168" s="41">
        <v>506</v>
      </c>
      <c r="D168" s="211">
        <v>584</v>
      </c>
      <c r="E168" s="41">
        <v>388</v>
      </c>
      <c r="F168" s="398">
        <v>351</v>
      </c>
      <c r="G168" s="494">
        <v>304</v>
      </c>
      <c r="H168" s="401"/>
      <c r="I168" s="41"/>
      <c r="J168" s="41"/>
      <c r="K168" s="41"/>
      <c r="L168" s="41"/>
      <c r="M168" s="41"/>
      <c r="N168" s="205"/>
      <c r="O168" s="205"/>
      <c r="P168" s="205"/>
      <c r="Q168" s="41"/>
      <c r="R168" s="272">
        <v>397</v>
      </c>
      <c r="S168" s="41"/>
      <c r="T168" s="41"/>
      <c r="U168" s="41"/>
      <c r="V168" s="398"/>
      <c r="X168" s="235"/>
      <c r="Y168" s="41"/>
      <c r="AB168" s="41"/>
      <c r="AC168" s="38"/>
      <c r="AD168" s="41"/>
      <c r="AE168" s="616"/>
      <c r="AF168" s="41"/>
      <c r="AG168" s="41"/>
      <c r="AH168" s="41"/>
      <c r="AI168" s="41"/>
      <c r="AJ168" s="41"/>
      <c r="AK168" s="41"/>
      <c r="AL168" s="41"/>
      <c r="AM168" s="41"/>
      <c r="AN168" s="41"/>
      <c r="AO168" s="41"/>
      <c r="AP168" s="38"/>
      <c r="AQ168" s="38"/>
      <c r="AR168" s="38"/>
      <c r="AS168" s="41"/>
      <c r="AT168" s="41"/>
      <c r="AU168" s="41"/>
      <c r="AV168" s="235"/>
      <c r="AW168" s="41">
        <f t="shared" si="202"/>
        <v>506</v>
      </c>
      <c r="AX168" s="41">
        <f t="shared" si="202"/>
        <v>584</v>
      </c>
      <c r="AY168" s="41">
        <f t="shared" si="202"/>
        <v>388</v>
      </c>
      <c r="AZ168" s="41">
        <f t="shared" si="202"/>
        <v>351</v>
      </c>
      <c r="BA168" s="41">
        <f t="shared" si="202"/>
        <v>304</v>
      </c>
      <c r="BB168" s="237">
        <f>R168+AD168</f>
        <v>397</v>
      </c>
      <c r="BC168" s="41">
        <f>AW168*1000/0.45359237/$B168</f>
        <v>2788847.616638701</v>
      </c>
      <c r="BD168" s="41">
        <f>AX168*1000/0.45359237/$B168</f>
        <v>3218749.0278992127</v>
      </c>
      <c r="BE168" s="41">
        <f t="shared" si="203"/>
        <v>2138483.9431933123</v>
      </c>
      <c r="BF168" s="41">
        <f t="shared" si="203"/>
        <v>1934556.3506723004</v>
      </c>
      <c r="BG168" s="41">
        <f t="shared" si="203"/>
        <v>1675513.1926050694</v>
      </c>
      <c r="BH168" s="237">
        <f t="shared" si="203"/>
        <v>2188087.95218491</v>
      </c>
      <c r="BI168" s="41">
        <v>766</v>
      </c>
      <c r="BJ168" s="41">
        <v>541</v>
      </c>
      <c r="BK168" s="41">
        <v>750</v>
      </c>
      <c r="BL168" s="398">
        <v>489</v>
      </c>
      <c r="BM168" s="398">
        <v>467</v>
      </c>
      <c r="BN168" s="235">
        <v>462</v>
      </c>
      <c r="BO168" s="41"/>
      <c r="BP168" s="41"/>
      <c r="BQ168" s="41"/>
      <c r="BR168" s="205"/>
      <c r="BT168" s="235"/>
      <c r="BU168" s="41"/>
      <c r="BV168" s="41"/>
      <c r="BW168" s="41"/>
      <c r="BX168" s="41"/>
      <c r="BY168" s="41"/>
      <c r="BZ168" s="235"/>
      <c r="CA168" s="41"/>
      <c r="CB168" s="41"/>
      <c r="CC168" s="41"/>
      <c r="CD168" s="41"/>
      <c r="CE168" s="41"/>
      <c r="CF168" s="41"/>
      <c r="CG168" s="41"/>
      <c r="CH168" s="41"/>
      <c r="CI168" s="39"/>
      <c r="CJ168" s="41"/>
      <c r="CK168" s="41"/>
      <c r="CL168" s="38"/>
      <c r="CM168" s="38"/>
      <c r="CN168" s="38"/>
      <c r="CO168" s="39"/>
      <c r="CP168" s="41"/>
      <c r="CQ168" s="41"/>
      <c r="CR168" s="237"/>
      <c r="CS168" s="41">
        <f t="shared" si="204"/>
        <v>766</v>
      </c>
      <c r="CT168" s="41">
        <f t="shared" si="204"/>
        <v>541</v>
      </c>
      <c r="CU168" s="41">
        <f t="shared" si="204"/>
        <v>750</v>
      </c>
      <c r="CV168" s="41">
        <f t="shared" si="204"/>
        <v>489</v>
      </c>
      <c r="CW168" s="41">
        <f t="shared" si="204"/>
        <v>467</v>
      </c>
      <c r="CX168" s="237">
        <f t="shared" si="204"/>
        <v>462</v>
      </c>
      <c r="CY168" s="41">
        <f>CS168*1000/0.45359237/$B168</f>
        <v>4221852.320840405</v>
      </c>
      <c r="CZ168" s="41">
        <f>CT168*1000/0.45359237/$B168</f>
        <v>2981752.0960504687</v>
      </c>
      <c r="DA168" s="41">
        <f t="shared" si="205"/>
        <v>4133667.4159664544</v>
      </c>
      <c r="DB168" s="41">
        <f t="shared" si="205"/>
        <v>2695151.155210128</v>
      </c>
      <c r="DC168" s="41">
        <f t="shared" si="205"/>
        <v>2573896.9110084455</v>
      </c>
      <c r="DD168" s="237">
        <f t="shared" si="205"/>
        <v>2546339.1282353355</v>
      </c>
      <c r="DE168" s="39">
        <f t="shared" si="206"/>
        <v>-260</v>
      </c>
      <c r="DF168" s="39">
        <f t="shared" si="206"/>
        <v>43</v>
      </c>
      <c r="DG168" s="39">
        <f t="shared" si="206"/>
        <v>-362</v>
      </c>
      <c r="DH168" s="39">
        <f t="shared" si="206"/>
        <v>-138</v>
      </c>
      <c r="DI168" s="39">
        <f t="shared" si="206"/>
        <v>-163</v>
      </c>
      <c r="DJ168" s="243">
        <f t="shared" si="206"/>
        <v>-65</v>
      </c>
      <c r="DK168" s="39">
        <f t="shared" si="206"/>
        <v>-1433004.7042017044</v>
      </c>
      <c r="DL168" s="39">
        <f t="shared" si="206"/>
        <v>236996.93184874393</v>
      </c>
      <c r="DM168" s="39">
        <f t="shared" si="206"/>
        <v>-1995183.4727731422</v>
      </c>
      <c r="DN168" s="39">
        <f t="shared" si="206"/>
        <v>-760594.8045378276</v>
      </c>
      <c r="DO168" s="39">
        <f t="shared" si="206"/>
        <v>-898383.7184033762</v>
      </c>
      <c r="DP168" s="243">
        <f t="shared" si="206"/>
        <v>-358251.1760504255</v>
      </c>
      <c r="DQ168" s="39">
        <f>DK168+Commerical!I166</f>
        <v>6611995.295798296</v>
      </c>
      <c r="DR168" s="39">
        <f>DL168+Commerical!J166</f>
        <v>11389496.931848744</v>
      </c>
      <c r="DS168" s="39">
        <f>DM168+Commerical!K166</f>
        <v>5204816.527226858</v>
      </c>
      <c r="DT168" s="39">
        <f>DN168+Commerical!L166</f>
        <v>4669405.195462173</v>
      </c>
      <c r="DU168" s="39">
        <f>DO168+Commerical!M166</f>
        <v>4076616.281596624</v>
      </c>
      <c r="DV168" s="243">
        <f>DP168+Commerical!N166</f>
        <v>5111748.8239495745</v>
      </c>
      <c r="DW168" s="39"/>
      <c r="DX168" s="39"/>
      <c r="DY168" s="38"/>
      <c r="DZ168" s="38"/>
      <c r="EA168" s="546"/>
      <c r="EB168" s="38"/>
      <c r="EC168" s="38"/>
      <c r="ED168" s="38"/>
      <c r="EP168" s="623"/>
    </row>
    <row r="169" spans="1:134" ht="12.75">
      <c r="A169" s="88" t="s">
        <v>296</v>
      </c>
      <c r="B169" s="29">
        <f>Commerical!B167</f>
        <v>0.5651666666666667</v>
      </c>
      <c r="C169" s="41"/>
      <c r="E169" s="41"/>
      <c r="F169" s="41"/>
      <c r="G169" s="235"/>
      <c r="H169" s="41"/>
      <c r="I169" s="41"/>
      <c r="J169" s="41"/>
      <c r="K169" s="41"/>
      <c r="L169" s="286"/>
      <c r="M169" s="626"/>
      <c r="N169" s="205"/>
      <c r="O169" s="205"/>
      <c r="P169" s="205"/>
      <c r="Q169" s="205"/>
      <c r="R169" s="271"/>
      <c r="S169" s="205"/>
      <c r="T169" s="205"/>
      <c r="U169" s="205"/>
      <c r="V169" s="398"/>
      <c r="X169" s="235"/>
      <c r="Y169" s="41"/>
      <c r="AB169" s="205"/>
      <c r="AC169" s="38"/>
      <c r="AD169" s="41"/>
      <c r="AE169" s="616"/>
      <c r="AF169" s="205"/>
      <c r="AG169" s="205"/>
      <c r="AH169" s="205"/>
      <c r="AI169" s="205"/>
      <c r="AJ169" s="205"/>
      <c r="AK169" s="205"/>
      <c r="AL169" s="205"/>
      <c r="AM169" s="41"/>
      <c r="AN169" s="41"/>
      <c r="AO169" s="41"/>
      <c r="AP169" s="38"/>
      <c r="AQ169" s="38"/>
      <c r="AR169" s="38"/>
      <c r="AS169" s="205"/>
      <c r="AT169" s="205"/>
      <c r="AU169" s="205"/>
      <c r="AV169" s="235"/>
      <c r="AW169" s="41"/>
      <c r="AX169" s="41"/>
      <c r="AY169" s="41"/>
      <c r="AZ169" s="41"/>
      <c r="BA169" s="41"/>
      <c r="BB169" s="237"/>
      <c r="BC169" s="41"/>
      <c r="BD169" s="41"/>
      <c r="BE169" s="210"/>
      <c r="BF169" s="41"/>
      <c r="BG169" s="41"/>
      <c r="BH169" s="237"/>
      <c r="BI169" s="41"/>
      <c r="BJ169" s="41"/>
      <c r="BK169" s="41"/>
      <c r="BL169" s="41"/>
      <c r="BM169" s="41"/>
      <c r="BN169" s="216"/>
      <c r="BO169" s="205"/>
      <c r="BP169" s="205"/>
      <c r="BQ169" s="205"/>
      <c r="BR169" s="205"/>
      <c r="BT169" s="235"/>
      <c r="BU169" s="41"/>
      <c r="BV169" s="41"/>
      <c r="BW169" s="41"/>
      <c r="BX169" s="286"/>
      <c r="BY169" s="286"/>
      <c r="BZ169" s="235"/>
      <c r="CA169" s="41"/>
      <c r="CB169" s="41"/>
      <c r="CC169" s="41"/>
      <c r="CD169" s="205"/>
      <c r="CE169" s="205"/>
      <c r="CF169" s="205"/>
      <c r="CG169" s="205"/>
      <c r="CH169" s="205"/>
      <c r="CI169" s="39"/>
      <c r="CJ169" s="41"/>
      <c r="CK169" s="41"/>
      <c r="CL169" s="38"/>
      <c r="CM169" s="38"/>
      <c r="CN169" s="38"/>
      <c r="CO169" s="39"/>
      <c r="CP169" s="205"/>
      <c r="CQ169" s="205"/>
      <c r="CR169" s="282"/>
      <c r="CS169" s="205"/>
      <c r="CT169" s="41"/>
      <c r="CU169" s="41"/>
      <c r="CV169" s="41"/>
      <c r="CW169" s="41"/>
      <c r="CX169" s="237"/>
      <c r="CY169" s="41"/>
      <c r="CZ169" s="41"/>
      <c r="DA169" s="41"/>
      <c r="DB169" s="41"/>
      <c r="DC169" s="41"/>
      <c r="DD169" s="237"/>
      <c r="DE169" s="41"/>
      <c r="DF169" s="39"/>
      <c r="DG169" s="39"/>
      <c r="DH169" s="39"/>
      <c r="DI169" s="39"/>
      <c r="DJ169" s="243"/>
      <c r="DK169" s="39"/>
      <c r="DL169" s="39"/>
      <c r="DM169" s="39"/>
      <c r="DN169" s="39"/>
      <c r="DO169" s="39"/>
      <c r="DP169" s="243"/>
      <c r="DQ169" s="39">
        <f>DK169+Commerical!I167</f>
        <v>350027720.4364494</v>
      </c>
      <c r="DR169" s="39">
        <f>DL169+Commerical!J167</f>
        <v>325304040.1061633</v>
      </c>
      <c r="DS169" s="39">
        <f>DM169+Commerical!K167</f>
        <v>272356826.8947213</v>
      </c>
      <c r="DT169" s="39">
        <f>DN169+Commerical!L167</f>
        <v>274856974.3438513</v>
      </c>
      <c r="DU169" s="39">
        <f>DO169+Commerical!M167</f>
        <v>258378649.36596873</v>
      </c>
      <c r="DV169" s="243">
        <f>DP169+Commerical!N167</f>
        <v>256301386.02182245</v>
      </c>
      <c r="DW169" s="138"/>
      <c r="DX169" s="39"/>
      <c r="DY169" s="38"/>
      <c r="DZ169" s="38"/>
      <c r="EA169" s="546"/>
      <c r="EB169" s="38"/>
      <c r="EC169" s="38"/>
      <c r="ED169" s="38"/>
    </row>
    <row r="170" spans="1:134" ht="12.75">
      <c r="A170" s="88" t="s">
        <v>297</v>
      </c>
      <c r="B170" s="29">
        <f>Commerical!B168</f>
        <v>0.4465</v>
      </c>
      <c r="C170" s="41"/>
      <c r="E170" s="41"/>
      <c r="F170" s="41"/>
      <c r="G170" s="235"/>
      <c r="H170" s="41"/>
      <c r="I170" s="41"/>
      <c r="J170" s="41"/>
      <c r="K170" s="41"/>
      <c r="L170" s="286"/>
      <c r="M170" s="626"/>
      <c r="N170" s="205"/>
      <c r="O170" s="205"/>
      <c r="P170" s="205"/>
      <c r="Q170" s="205"/>
      <c r="R170" s="271"/>
      <c r="S170" s="205"/>
      <c r="T170" s="205"/>
      <c r="U170" s="205"/>
      <c r="V170" s="399"/>
      <c r="W170" s="395"/>
      <c r="X170" s="235"/>
      <c r="Y170" s="41"/>
      <c r="AB170" s="205"/>
      <c r="AC170" s="38"/>
      <c r="AD170" s="41"/>
      <c r="AE170" s="616"/>
      <c r="AF170" s="205"/>
      <c r="AG170" s="205"/>
      <c r="AH170" s="205"/>
      <c r="AI170" s="205"/>
      <c r="AJ170" s="205"/>
      <c r="AK170" s="205"/>
      <c r="AL170" s="205"/>
      <c r="AM170" s="41"/>
      <c r="AN170" s="41"/>
      <c r="AO170" s="41"/>
      <c r="AP170" s="38"/>
      <c r="AQ170" s="38"/>
      <c r="AR170" s="38"/>
      <c r="AS170" s="205"/>
      <c r="AT170" s="205"/>
      <c r="AU170" s="205"/>
      <c r="AV170" s="235"/>
      <c r="AW170" s="41"/>
      <c r="AX170" s="41"/>
      <c r="AY170" s="41"/>
      <c r="AZ170" s="41"/>
      <c r="BA170" s="41"/>
      <c r="BB170" s="237"/>
      <c r="BC170" s="41"/>
      <c r="BD170" s="41"/>
      <c r="BE170" s="210"/>
      <c r="BF170" s="41"/>
      <c r="BG170" s="41"/>
      <c r="BH170" s="237"/>
      <c r="BI170" s="41"/>
      <c r="BJ170" s="41"/>
      <c r="BK170" s="41"/>
      <c r="BL170" s="41"/>
      <c r="BM170" s="41"/>
      <c r="BN170" s="216"/>
      <c r="BO170" s="205"/>
      <c r="BP170" s="205"/>
      <c r="BQ170" s="205"/>
      <c r="BR170" s="205"/>
      <c r="BT170" s="235"/>
      <c r="BU170" s="41"/>
      <c r="BV170" s="41"/>
      <c r="BW170" s="41"/>
      <c r="BX170" s="286"/>
      <c r="BY170" s="286"/>
      <c r="BZ170" s="235"/>
      <c r="CA170" s="41"/>
      <c r="CB170" s="41"/>
      <c r="CC170" s="41"/>
      <c r="CD170" s="205"/>
      <c r="CE170" s="205"/>
      <c r="CF170" s="205"/>
      <c r="CG170" s="205"/>
      <c r="CH170" s="205"/>
      <c r="CI170" s="39"/>
      <c r="CJ170" s="41"/>
      <c r="CK170" s="41"/>
      <c r="CL170" s="38"/>
      <c r="CM170" s="38"/>
      <c r="CN170" s="38"/>
      <c r="CO170" s="39"/>
      <c r="CP170" s="205"/>
      <c r="CQ170" s="205"/>
      <c r="CR170" s="282"/>
      <c r="CS170" s="205"/>
      <c r="CT170" s="41"/>
      <c r="CU170" s="41"/>
      <c r="CV170" s="41"/>
      <c r="CW170" s="41"/>
      <c r="CX170" s="237"/>
      <c r="CY170" s="41"/>
      <c r="CZ170" s="41"/>
      <c r="DA170" s="41"/>
      <c r="DB170" s="41"/>
      <c r="DC170" s="41"/>
      <c r="DD170" s="237"/>
      <c r="DE170" s="41"/>
      <c r="DF170" s="39"/>
      <c r="DG170" s="39"/>
      <c r="DH170" s="39"/>
      <c r="DI170" s="39"/>
      <c r="DJ170" s="243"/>
      <c r="DK170" s="39"/>
      <c r="DL170" s="39"/>
      <c r="DM170" s="39"/>
      <c r="DN170" s="39"/>
      <c r="DO170" s="39"/>
      <c r="DP170" s="243"/>
      <c r="DQ170" s="39">
        <f>DK170+Commerical!I168</f>
        <v>3003359.462486002</v>
      </c>
      <c r="DR170" s="39">
        <f>DL170+Commerical!J168</f>
        <v>2647256.438969765</v>
      </c>
      <c r="DS170" s="39">
        <f>DM170+Commerical!K168</f>
        <v>3935050.39193729</v>
      </c>
      <c r="DT170" s="39">
        <f>DN170+Commerical!L168</f>
        <v>4503919.372900336</v>
      </c>
      <c r="DU170" s="39">
        <f>DO170+Commerical!M168</f>
        <v>4781634.938409855</v>
      </c>
      <c r="DV170" s="243">
        <f>DP170+Commerical!N168</f>
        <v>7825307.950727884</v>
      </c>
      <c r="DW170" s="138"/>
      <c r="DX170" s="39"/>
      <c r="DY170" s="38"/>
      <c r="DZ170" s="38"/>
      <c r="EA170" s="546"/>
      <c r="EB170" s="38"/>
      <c r="EC170" s="38"/>
      <c r="ED170" s="38"/>
    </row>
    <row r="171" spans="1:134" ht="12.75">
      <c r="A171" s="88" t="s">
        <v>298</v>
      </c>
      <c r="B171" s="29">
        <f>Commerical!B169</f>
        <v>2.2375</v>
      </c>
      <c r="C171" s="41">
        <v>97</v>
      </c>
      <c r="D171" s="41">
        <v>223</v>
      </c>
      <c r="E171" s="41">
        <v>286</v>
      </c>
      <c r="F171" s="398">
        <v>438</v>
      </c>
      <c r="G171" s="494">
        <v>575</v>
      </c>
      <c r="H171" s="401"/>
      <c r="I171" s="41"/>
      <c r="J171" s="41"/>
      <c r="K171" s="41"/>
      <c r="L171" s="286"/>
      <c r="M171" s="626"/>
      <c r="N171" s="205"/>
      <c r="O171" s="205"/>
      <c r="P171" s="205"/>
      <c r="Q171" s="41"/>
      <c r="R171" s="272">
        <v>62</v>
      </c>
      <c r="S171" s="41"/>
      <c r="T171" s="41"/>
      <c r="U171" s="41"/>
      <c r="V171" s="403"/>
      <c r="X171" s="235"/>
      <c r="Y171" s="41"/>
      <c r="Z171" s="41"/>
      <c r="AA171" s="41"/>
      <c r="AD171" s="38"/>
      <c r="AE171" s="619"/>
      <c r="AF171" s="41"/>
      <c r="AG171" s="41"/>
      <c r="AH171" s="41"/>
      <c r="AI171" s="41"/>
      <c r="AJ171" s="41"/>
      <c r="AK171" s="41"/>
      <c r="AL171" s="41"/>
      <c r="AM171" s="41"/>
      <c r="AN171" s="41"/>
      <c r="AO171" s="41"/>
      <c r="AP171" s="38"/>
      <c r="AQ171" s="38"/>
      <c r="AR171" s="38"/>
      <c r="AS171" s="41"/>
      <c r="AT171" s="41"/>
      <c r="AU171" s="41"/>
      <c r="AV171" s="235"/>
      <c r="AW171" s="41">
        <f>C171+Y171</f>
        <v>97</v>
      </c>
      <c r="AX171" s="41">
        <f>D171+Z171</f>
        <v>223</v>
      </c>
      <c r="AY171" s="41">
        <f>E171+AA171</f>
        <v>286</v>
      </c>
      <c r="AZ171" s="41">
        <f>F171+AB171</f>
        <v>438</v>
      </c>
      <c r="BA171" s="41">
        <f>G171+AC179</f>
        <v>637</v>
      </c>
      <c r="BB171" s="237">
        <f>R171+AD171</f>
        <v>62</v>
      </c>
      <c r="BC171" s="41">
        <f aca="true" t="shared" si="207" ref="BC171:BH171">AW171*1000/0.45359237/$B171</f>
        <v>95574.70137176815</v>
      </c>
      <c r="BD171" s="41">
        <f t="shared" si="207"/>
        <v>219723.28253509587</v>
      </c>
      <c r="BE171" s="41">
        <f t="shared" si="207"/>
        <v>281797.57311675977</v>
      </c>
      <c r="BF171" s="41">
        <f t="shared" si="207"/>
        <v>431564.1154725202</v>
      </c>
      <c r="BG171" s="41">
        <f t="shared" si="207"/>
        <v>627640.0492146013</v>
      </c>
      <c r="BH171" s="237">
        <f t="shared" si="207"/>
        <v>61088.984381954906</v>
      </c>
      <c r="BI171" s="41">
        <v>468</v>
      </c>
      <c r="BJ171" s="41">
        <v>256</v>
      </c>
      <c r="BK171" s="41">
        <v>202</v>
      </c>
      <c r="BL171" s="398">
        <v>256</v>
      </c>
      <c r="BM171" s="398">
        <v>420</v>
      </c>
      <c r="BN171" s="235">
        <v>612</v>
      </c>
      <c r="BO171" s="41"/>
      <c r="BP171" s="41"/>
      <c r="BQ171" s="41"/>
      <c r="BR171" s="205"/>
      <c r="BT171" s="235"/>
      <c r="BU171" s="41"/>
      <c r="BV171" s="41"/>
      <c r="BW171" s="41"/>
      <c r="BX171" s="400"/>
      <c r="BY171" s="400"/>
      <c r="BZ171" s="238"/>
      <c r="CA171" s="38"/>
      <c r="CB171" s="38"/>
      <c r="CC171" s="41"/>
      <c r="CD171" s="205"/>
      <c r="CE171" s="205"/>
      <c r="CF171" s="205"/>
      <c r="CG171" s="205"/>
      <c r="CH171" s="205"/>
      <c r="CI171" s="39"/>
      <c r="CJ171" s="286"/>
      <c r="CK171" s="286"/>
      <c r="CL171" s="38"/>
      <c r="CM171" s="38"/>
      <c r="CN171" s="38"/>
      <c r="CO171" s="39"/>
      <c r="CP171" s="41"/>
      <c r="CQ171" s="41"/>
      <c r="CR171" s="237"/>
      <c r="CS171" s="41">
        <f aca="true" t="shared" si="208" ref="CS171:CX171">BI171+BU171</f>
        <v>468</v>
      </c>
      <c r="CT171" s="41">
        <f t="shared" si="208"/>
        <v>256</v>
      </c>
      <c r="CU171" s="41">
        <f t="shared" si="208"/>
        <v>202</v>
      </c>
      <c r="CV171" s="41">
        <f t="shared" si="208"/>
        <v>256</v>
      </c>
      <c r="CW171" s="41">
        <f t="shared" si="208"/>
        <v>420</v>
      </c>
      <c r="CX171" s="237">
        <f t="shared" si="208"/>
        <v>612</v>
      </c>
      <c r="CY171" s="41">
        <f aca="true" t="shared" si="209" ref="CY171:DD171">CS171*1000/0.45359237/$B171</f>
        <v>461123.30146378867</v>
      </c>
      <c r="CZ171" s="41">
        <f t="shared" si="209"/>
        <v>252238.38712549125</v>
      </c>
      <c r="DA171" s="41">
        <f t="shared" si="209"/>
        <v>199031.8523412079</v>
      </c>
      <c r="DB171" s="41">
        <f t="shared" si="209"/>
        <v>252238.38712549125</v>
      </c>
      <c r="DC171" s="41">
        <f t="shared" si="209"/>
        <v>413828.6038777591</v>
      </c>
      <c r="DD171" s="237">
        <f t="shared" si="209"/>
        <v>603007.3942218774</v>
      </c>
      <c r="DE171" s="39">
        <f aca="true" t="shared" si="210" ref="DE171:DP171">AW171-CS171</f>
        <v>-371</v>
      </c>
      <c r="DF171" s="39">
        <f t="shared" si="210"/>
        <v>-33</v>
      </c>
      <c r="DG171" s="39">
        <f t="shared" si="210"/>
        <v>84</v>
      </c>
      <c r="DH171" s="39">
        <f t="shared" si="210"/>
        <v>182</v>
      </c>
      <c r="DI171" s="39">
        <f t="shared" si="210"/>
        <v>217</v>
      </c>
      <c r="DJ171" s="243">
        <f t="shared" si="210"/>
        <v>-550</v>
      </c>
      <c r="DK171" s="39">
        <f t="shared" si="210"/>
        <v>-365548.6000920205</v>
      </c>
      <c r="DL171" s="39">
        <f t="shared" si="210"/>
        <v>-32515.10459039538</v>
      </c>
      <c r="DM171" s="39">
        <f t="shared" si="210"/>
        <v>82765.72077555186</v>
      </c>
      <c r="DN171" s="39">
        <f t="shared" si="210"/>
        <v>179325.72834702893</v>
      </c>
      <c r="DO171" s="39">
        <f t="shared" si="210"/>
        <v>213811.4453368422</v>
      </c>
      <c r="DP171" s="243">
        <f t="shared" si="210"/>
        <v>-541918.4098399226</v>
      </c>
      <c r="DQ171" s="39">
        <f>DK171+Commerical!I169</f>
        <v>29776574.304935917</v>
      </c>
      <c r="DR171" s="39">
        <f>DL171+Commerical!J169</f>
        <v>29167931.82278391</v>
      </c>
      <c r="DS171" s="39">
        <f>DM171+Commerical!K169</f>
        <v>28401424.93865265</v>
      </c>
      <c r="DT171" s="39">
        <f>DN171+Commerical!L169</f>
        <v>22487705.616615187</v>
      </c>
      <c r="DU171" s="39">
        <f>DO171+Commerical!M169</f>
        <v>25690012.562655278</v>
      </c>
      <c r="DV171" s="243">
        <f>DP171+Commerical!N169</f>
        <v>39183668.182338856</v>
      </c>
      <c r="DW171" s="138"/>
      <c r="DX171" s="39"/>
      <c r="DY171" s="38"/>
      <c r="DZ171" s="38"/>
      <c r="EA171" s="546"/>
      <c r="EB171" s="38"/>
      <c r="EC171" s="38"/>
      <c r="ED171" s="38"/>
    </row>
    <row r="172" spans="1:134" ht="12.75">
      <c r="A172" s="88" t="s">
        <v>299</v>
      </c>
      <c r="B172" s="29">
        <f>Commerical!B170</f>
        <v>1.275</v>
      </c>
      <c r="C172" s="41"/>
      <c r="E172" s="41"/>
      <c r="F172" s="41"/>
      <c r="G172" s="235"/>
      <c r="H172" s="41"/>
      <c r="I172" s="41"/>
      <c r="J172" s="41"/>
      <c r="K172" s="41"/>
      <c r="L172" s="286"/>
      <c r="M172" s="626"/>
      <c r="N172" s="205"/>
      <c r="O172" s="205"/>
      <c r="P172" s="205"/>
      <c r="Q172" s="205"/>
      <c r="R172" s="271"/>
      <c r="S172" s="205"/>
      <c r="T172" s="205"/>
      <c r="U172" s="205"/>
      <c r="V172" s="398"/>
      <c r="X172" s="235"/>
      <c r="Y172" s="41"/>
      <c r="Z172" s="41"/>
      <c r="AA172" s="41"/>
      <c r="AB172" s="205"/>
      <c r="AC172" s="38"/>
      <c r="AD172" s="41"/>
      <c r="AE172" s="616"/>
      <c r="AF172" s="205"/>
      <c r="AG172" s="205"/>
      <c r="AH172" s="205"/>
      <c r="AI172" s="205"/>
      <c r="AJ172" s="205"/>
      <c r="AK172" s="205"/>
      <c r="AL172" s="205"/>
      <c r="AM172" s="41"/>
      <c r="AN172" s="41"/>
      <c r="AO172" s="41"/>
      <c r="AP172" s="38"/>
      <c r="AQ172" s="38"/>
      <c r="AR172" s="38"/>
      <c r="AS172" s="205"/>
      <c r="AT172" s="205"/>
      <c r="AU172" s="205"/>
      <c r="AV172" s="235"/>
      <c r="AW172" s="41"/>
      <c r="AX172" s="41"/>
      <c r="AY172" s="41"/>
      <c r="AZ172" s="41"/>
      <c r="BA172" s="41"/>
      <c r="BB172" s="237"/>
      <c r="BC172" s="41"/>
      <c r="BD172" s="41"/>
      <c r="BE172" s="210"/>
      <c r="BF172" s="41"/>
      <c r="BG172" s="41"/>
      <c r="BH172" s="237"/>
      <c r="BI172" s="41"/>
      <c r="BJ172" s="41"/>
      <c r="BK172" s="41"/>
      <c r="BL172" s="41"/>
      <c r="BM172" s="41"/>
      <c r="BN172" s="216"/>
      <c r="BO172" s="205"/>
      <c r="BP172" s="205"/>
      <c r="BQ172" s="205"/>
      <c r="BR172" s="205"/>
      <c r="BS172" s="205"/>
      <c r="BT172" s="235"/>
      <c r="BU172" s="41"/>
      <c r="BV172" s="41"/>
      <c r="BW172" s="41"/>
      <c r="BX172" s="286"/>
      <c r="BY172" s="286"/>
      <c r="BZ172" s="235"/>
      <c r="CA172" s="41"/>
      <c r="CB172" s="41"/>
      <c r="CC172" s="41"/>
      <c r="CD172" s="205"/>
      <c r="CE172" s="205"/>
      <c r="CF172" s="205"/>
      <c r="CG172" s="205"/>
      <c r="CH172" s="205"/>
      <c r="CI172" s="39"/>
      <c r="CJ172" s="286"/>
      <c r="CK172" s="286"/>
      <c r="CL172" s="38"/>
      <c r="CM172" s="38"/>
      <c r="CN172" s="38"/>
      <c r="CO172" s="39"/>
      <c r="CP172" s="205"/>
      <c r="CQ172" s="205"/>
      <c r="CR172" s="282"/>
      <c r="CS172" s="205"/>
      <c r="CT172" s="41"/>
      <c r="CU172" s="41"/>
      <c r="CV172" s="41"/>
      <c r="CW172" s="41"/>
      <c r="CX172" s="237"/>
      <c r="CY172" s="41"/>
      <c r="CZ172" s="41"/>
      <c r="DA172" s="41"/>
      <c r="DB172" s="41"/>
      <c r="DC172" s="41"/>
      <c r="DD172" s="237"/>
      <c r="DE172" s="41"/>
      <c r="DF172" s="39"/>
      <c r="DG172" s="39"/>
      <c r="DH172" s="39"/>
      <c r="DI172" s="39"/>
      <c r="DJ172" s="243"/>
      <c r="DK172" s="39"/>
      <c r="DL172" s="39"/>
      <c r="DM172" s="39"/>
      <c r="DN172" s="39"/>
      <c r="DO172" s="39"/>
      <c r="DP172" s="243"/>
      <c r="DQ172" s="39">
        <f>DK172+Commerical!I170</f>
        <v>9000000</v>
      </c>
      <c r="DR172" s="39">
        <f>DL172+Commerical!J170</f>
        <v>8533333.333333334</v>
      </c>
      <c r="DS172" s="39">
        <f>DM172+Commerical!K170</f>
        <v>6882352.941176471</v>
      </c>
      <c r="DT172" s="39">
        <f>DN172+Commerical!L170</f>
        <v>6774117.647058824</v>
      </c>
      <c r="DU172" s="39">
        <f>DO172+Commerical!M170</f>
        <v>6731764.705882354</v>
      </c>
      <c r="DV172" s="243">
        <f>DP172+Commerical!N170</f>
        <v>5250980.392156863</v>
      </c>
      <c r="DW172" s="138"/>
      <c r="DX172" s="39"/>
      <c r="DY172" s="38"/>
      <c r="DZ172" s="38"/>
      <c r="EA172" s="546"/>
      <c r="EB172" s="38"/>
      <c r="EC172" s="38"/>
      <c r="ED172" s="38"/>
    </row>
    <row r="173" spans="1:134" ht="12.75">
      <c r="A173" s="88" t="s">
        <v>300</v>
      </c>
      <c r="B173" s="29">
        <f>Commerical!B171</f>
        <v>14.375</v>
      </c>
      <c r="C173" s="41">
        <v>8515</v>
      </c>
      <c r="D173" s="41">
        <v>10044</v>
      </c>
      <c r="E173" s="41">
        <v>15825</v>
      </c>
      <c r="F173" s="397">
        <v>15920</v>
      </c>
      <c r="G173" s="495">
        <v>30349</v>
      </c>
      <c r="H173" s="401"/>
      <c r="I173" s="41"/>
      <c r="J173" s="41"/>
      <c r="K173" s="41"/>
      <c r="L173" s="286"/>
      <c r="M173" s="626"/>
      <c r="N173" s="205"/>
      <c r="O173" s="205"/>
      <c r="P173" s="205"/>
      <c r="Q173" s="41"/>
      <c r="R173" s="272">
        <v>28074</v>
      </c>
      <c r="S173" s="41"/>
      <c r="T173" s="41"/>
      <c r="U173" s="41"/>
      <c r="V173" s="398"/>
      <c r="X173" s="235"/>
      <c r="Y173" s="41"/>
      <c r="Z173" s="41"/>
      <c r="AA173" s="41"/>
      <c r="AD173" s="38"/>
      <c r="AE173" s="619"/>
      <c r="AF173" s="41"/>
      <c r="AG173" s="41"/>
      <c r="AH173" s="41"/>
      <c r="AI173" s="41"/>
      <c r="AJ173" s="41"/>
      <c r="AK173" s="41"/>
      <c r="AL173" s="41"/>
      <c r="AM173" s="41"/>
      <c r="AN173" s="41"/>
      <c r="AO173" s="41"/>
      <c r="AP173" s="38"/>
      <c r="AQ173" s="38"/>
      <c r="AR173" s="38"/>
      <c r="AS173" s="41"/>
      <c r="AT173" s="41"/>
      <c r="AU173" s="41"/>
      <c r="AV173" s="235"/>
      <c r="AW173" s="41">
        <f>C173+Y173</f>
        <v>8515</v>
      </c>
      <c r="AX173" s="41">
        <f>D173+Z173</f>
        <v>10044</v>
      </c>
      <c r="AY173" s="41">
        <f>E173+AA173</f>
        <v>15825</v>
      </c>
      <c r="AZ173" s="41">
        <f>F173+AB173</f>
        <v>15920</v>
      </c>
      <c r="BA173" s="41">
        <f>G173+AC180</f>
        <v>30717</v>
      </c>
      <c r="BB173" s="237">
        <f>R173+AD173</f>
        <v>28074</v>
      </c>
      <c r="BC173" s="41">
        <f aca="true" t="shared" si="211" ref="BC173:BH173">AW173*1000/0.45359237/$B173</f>
        <v>1305903.4173942488</v>
      </c>
      <c r="BD173" s="41">
        <f t="shared" si="211"/>
        <v>1540398.5818329812</v>
      </c>
      <c r="BE173" s="41">
        <f t="shared" si="211"/>
        <v>2427001.947183087</v>
      </c>
      <c r="BF173" s="41">
        <f t="shared" si="211"/>
        <v>2441571.6271187835</v>
      </c>
      <c r="BG173" s="41">
        <f t="shared" si="211"/>
        <v>4710914.3008924415</v>
      </c>
      <c r="BH173" s="237">
        <f t="shared" si="211"/>
        <v>4305570.468576176</v>
      </c>
      <c r="BI173" s="41">
        <v>2699</v>
      </c>
      <c r="BJ173" s="41">
        <v>3614</v>
      </c>
      <c r="BK173" s="41">
        <v>3365</v>
      </c>
      <c r="BL173" s="397">
        <v>4328</v>
      </c>
      <c r="BM173" s="397">
        <v>3306</v>
      </c>
      <c r="BN173" s="235">
        <v>4319</v>
      </c>
      <c r="BO173" s="41"/>
      <c r="BP173" s="41"/>
      <c r="BQ173" s="41"/>
      <c r="BR173" s="205"/>
      <c r="BS173" s="41"/>
      <c r="BT173" s="235"/>
      <c r="BU173" s="41"/>
      <c r="BV173" s="41"/>
      <c r="BW173" s="41"/>
      <c r="BX173" s="286"/>
      <c r="BY173" s="286"/>
      <c r="BZ173" s="238"/>
      <c r="CA173" s="38"/>
      <c r="CB173" s="38"/>
      <c r="CC173" s="41"/>
      <c r="CD173" s="205"/>
      <c r="CE173" s="205"/>
      <c r="CF173" s="205"/>
      <c r="CG173" s="205"/>
      <c r="CH173" s="205"/>
      <c r="CI173" s="39"/>
      <c r="CJ173" s="286"/>
      <c r="CK173" s="286"/>
      <c r="CL173" s="38"/>
      <c r="CM173" s="38"/>
      <c r="CN173" s="38"/>
      <c r="CO173" s="39"/>
      <c r="CP173" s="41"/>
      <c r="CQ173" s="41"/>
      <c r="CR173" s="237"/>
      <c r="CS173" s="41">
        <f aca="true" t="shared" si="212" ref="CS173:CX173">BI173+BU173</f>
        <v>2699</v>
      </c>
      <c r="CT173" s="41">
        <f t="shared" si="212"/>
        <v>3614</v>
      </c>
      <c r="CU173" s="41">
        <f t="shared" si="212"/>
        <v>3365</v>
      </c>
      <c r="CV173" s="41">
        <f t="shared" si="212"/>
        <v>4328</v>
      </c>
      <c r="CW173" s="41">
        <f t="shared" si="212"/>
        <v>3306</v>
      </c>
      <c r="CX173" s="237">
        <f t="shared" si="212"/>
        <v>4319</v>
      </c>
      <c r="CY173" s="41">
        <f aca="true" t="shared" si="213" ref="CY173:DD173">CS173*1000/0.45359237/$B173</f>
        <v>413932.27522572834</v>
      </c>
      <c r="CZ173" s="41">
        <f t="shared" si="213"/>
        <v>554261.2977642765</v>
      </c>
      <c r="DA173" s="41">
        <f t="shared" si="213"/>
        <v>516073.3998275569</v>
      </c>
      <c r="DB173" s="41">
        <f t="shared" si="213"/>
        <v>663763.9448599304</v>
      </c>
      <c r="DC173" s="41">
        <f t="shared" si="213"/>
        <v>507024.8617622297</v>
      </c>
      <c r="DD173" s="237">
        <f t="shared" si="213"/>
        <v>662383.6593923382</v>
      </c>
      <c r="DE173" s="39">
        <f aca="true" t="shared" si="214" ref="DE173:DP173">AW173-CS173</f>
        <v>5816</v>
      </c>
      <c r="DF173" s="39">
        <f t="shared" si="214"/>
        <v>6430</v>
      </c>
      <c r="DG173" s="39">
        <f t="shared" si="214"/>
        <v>12460</v>
      </c>
      <c r="DH173" s="39">
        <f t="shared" si="214"/>
        <v>11592</v>
      </c>
      <c r="DI173" s="39">
        <f t="shared" si="214"/>
        <v>27411</v>
      </c>
      <c r="DJ173" s="243">
        <f t="shared" si="214"/>
        <v>23755</v>
      </c>
      <c r="DK173" s="39">
        <f t="shared" si="214"/>
        <v>891971.1421685205</v>
      </c>
      <c r="DL173" s="39">
        <f t="shared" si="214"/>
        <v>986137.2840687047</v>
      </c>
      <c r="DM173" s="39">
        <f t="shared" si="214"/>
        <v>1910928.54735553</v>
      </c>
      <c r="DN173" s="39">
        <f t="shared" si="214"/>
        <v>1777807.6822588532</v>
      </c>
      <c r="DO173" s="39">
        <f t="shared" si="214"/>
        <v>4203889.439130212</v>
      </c>
      <c r="DP173" s="243">
        <f t="shared" si="214"/>
        <v>3643186.809183838</v>
      </c>
      <c r="DQ173" s="39">
        <f>DK173+Commerical!I171</f>
        <v>2074788.5334728684</v>
      </c>
      <c r="DR173" s="39">
        <f>DL173+Commerical!J171</f>
        <v>2658624.240590444</v>
      </c>
      <c r="DS173" s="39">
        <f>DM173+Commerical!K171</f>
        <v>3468563.3299642256</v>
      </c>
      <c r="DT173" s="39">
        <f>DN173+Commerical!L171</f>
        <v>3670538.117041462</v>
      </c>
      <c r="DU173" s="39">
        <f>DO173+Commerical!M171</f>
        <v>6008341.613043256</v>
      </c>
      <c r="DV173" s="243">
        <f>DP173+Commerical!N171</f>
        <v>5148647.678749055</v>
      </c>
      <c r="DW173" s="138"/>
      <c r="DX173" s="39"/>
      <c r="DY173" s="38"/>
      <c r="DZ173" s="38"/>
      <c r="EA173" s="546"/>
      <c r="EB173" s="38"/>
      <c r="EC173" s="38"/>
      <c r="ED173" s="38"/>
    </row>
    <row r="174" spans="1:134" ht="12.75">
      <c r="A174" s="88" t="s">
        <v>302</v>
      </c>
      <c r="B174" s="29">
        <f>Commerical!B172</f>
        <v>2.55</v>
      </c>
      <c r="C174" s="41"/>
      <c r="E174" s="41"/>
      <c r="F174" s="41"/>
      <c r="G174" s="235"/>
      <c r="H174" s="41"/>
      <c r="I174" s="41"/>
      <c r="J174" s="41"/>
      <c r="K174" s="41"/>
      <c r="L174" s="205"/>
      <c r="M174" s="205"/>
      <c r="N174" s="205"/>
      <c r="O174" s="205"/>
      <c r="P174" s="205"/>
      <c r="Q174" s="205"/>
      <c r="R174" s="271"/>
      <c r="S174" s="205"/>
      <c r="T174" s="205"/>
      <c r="U174" s="205"/>
      <c r="V174" s="398"/>
      <c r="X174" s="235"/>
      <c r="Y174" s="41"/>
      <c r="Z174" s="41"/>
      <c r="AA174" s="41"/>
      <c r="AB174" s="205"/>
      <c r="AC174" s="38"/>
      <c r="AD174" s="41"/>
      <c r="AE174" s="616"/>
      <c r="AF174" s="205"/>
      <c r="AG174" s="205"/>
      <c r="AH174" s="205"/>
      <c r="AI174" s="205"/>
      <c r="AJ174" s="205"/>
      <c r="AK174" s="205"/>
      <c r="AL174" s="205"/>
      <c r="AM174" s="41"/>
      <c r="AN174" s="41"/>
      <c r="AO174" s="41"/>
      <c r="AP174" s="38"/>
      <c r="AQ174" s="38"/>
      <c r="AR174" s="38"/>
      <c r="AS174" s="205"/>
      <c r="AT174" s="205"/>
      <c r="AU174" s="205"/>
      <c r="AV174" s="235"/>
      <c r="AW174" s="41"/>
      <c r="AX174" s="41"/>
      <c r="AY174" s="41"/>
      <c r="AZ174" s="41"/>
      <c r="BA174" s="41"/>
      <c r="BB174" s="237"/>
      <c r="BC174" s="41"/>
      <c r="BD174" s="41"/>
      <c r="BE174" s="210"/>
      <c r="BF174" s="41"/>
      <c r="BG174" s="41"/>
      <c r="BH174" s="237"/>
      <c r="BI174" s="41"/>
      <c r="BJ174" s="41"/>
      <c r="BK174" s="41"/>
      <c r="BL174" s="41"/>
      <c r="BM174" s="41"/>
      <c r="BN174" s="216"/>
      <c r="BO174" s="205"/>
      <c r="BP174" s="205"/>
      <c r="BQ174" s="205"/>
      <c r="BR174" s="205"/>
      <c r="BS174" s="205"/>
      <c r="BT174" s="235"/>
      <c r="BU174" s="41"/>
      <c r="BV174" s="41"/>
      <c r="BW174" s="41"/>
      <c r="BX174" s="286"/>
      <c r="BY174" s="286"/>
      <c r="BZ174" s="235"/>
      <c r="CA174" s="41"/>
      <c r="CB174" s="41"/>
      <c r="CC174" s="41"/>
      <c r="CD174" s="205"/>
      <c r="CE174" s="205"/>
      <c r="CF174" s="205"/>
      <c r="CG174" s="205"/>
      <c r="CH174" s="205"/>
      <c r="CI174" s="39"/>
      <c r="CJ174" s="41"/>
      <c r="CK174" s="286"/>
      <c r="CL174" s="38"/>
      <c r="CM174" s="38"/>
      <c r="CN174" s="38"/>
      <c r="CO174" s="39"/>
      <c r="CP174" s="205"/>
      <c r="CQ174" s="205"/>
      <c r="CR174" s="282"/>
      <c r="CS174" s="205"/>
      <c r="CT174" s="41"/>
      <c r="CU174" s="41"/>
      <c r="CV174" s="41"/>
      <c r="CW174" s="41"/>
      <c r="CX174" s="237"/>
      <c r="CY174" s="41"/>
      <c r="CZ174" s="41"/>
      <c r="DA174" s="41"/>
      <c r="DB174" s="41"/>
      <c r="DC174" s="41"/>
      <c r="DD174" s="237"/>
      <c r="DE174" s="41"/>
      <c r="DF174" s="39"/>
      <c r="DG174" s="39"/>
      <c r="DH174" s="39"/>
      <c r="DI174" s="39"/>
      <c r="DJ174" s="243"/>
      <c r="DK174" s="39"/>
      <c r="DL174" s="39"/>
      <c r="DM174" s="39"/>
      <c r="DN174" s="39"/>
      <c r="DO174" s="39"/>
      <c r="DP174" s="243"/>
      <c r="DQ174" s="39">
        <f>DK174+Commerical!I172</f>
        <v>21196078.43137255</v>
      </c>
      <c r="DR174" s="39">
        <f>DL174+Commerical!J172</f>
        <v>18760392.156862747</v>
      </c>
      <c r="DS174" s="39">
        <f>DM174+Commerical!K172</f>
        <v>22780000</v>
      </c>
      <c r="DT174" s="39">
        <f>DN174+Commerical!L172</f>
        <v>24487058.823529415</v>
      </c>
      <c r="DU174" s="39">
        <f>DO174+Commerical!M172</f>
        <v>13382352.941176472</v>
      </c>
      <c r="DV174" s="243">
        <f>DP174+Commerical!N172</f>
        <v>14909411.764705883</v>
      </c>
      <c r="DW174" s="138"/>
      <c r="DX174" s="39"/>
      <c r="DY174" s="38"/>
      <c r="DZ174" s="38"/>
      <c r="EA174" s="546"/>
      <c r="EB174" s="38"/>
      <c r="EC174" s="38"/>
      <c r="ED174" s="38"/>
    </row>
    <row r="175" spans="1:134" ht="13.5">
      <c r="A175" s="88" t="s">
        <v>301</v>
      </c>
      <c r="B175" s="29">
        <f>Commerical!B173</f>
        <v>4.25</v>
      </c>
      <c r="C175" s="41"/>
      <c r="E175" s="41"/>
      <c r="F175" s="41"/>
      <c r="G175" s="235"/>
      <c r="H175" s="41"/>
      <c r="I175" s="41"/>
      <c r="J175" s="41"/>
      <c r="K175" s="41"/>
      <c r="L175" s="205"/>
      <c r="M175" s="205"/>
      <c r="N175" s="205"/>
      <c r="O175" s="205"/>
      <c r="P175" s="205"/>
      <c r="Q175" s="205"/>
      <c r="R175" s="271"/>
      <c r="S175" s="205"/>
      <c r="T175" s="205"/>
      <c r="U175" s="205"/>
      <c r="V175" s="398"/>
      <c r="X175" s="235"/>
      <c r="Y175" s="41"/>
      <c r="AB175" s="205"/>
      <c r="AC175" s="38"/>
      <c r="AD175" s="41"/>
      <c r="AE175" s="616"/>
      <c r="AF175" s="205"/>
      <c r="AG175" s="205"/>
      <c r="AH175" s="205"/>
      <c r="AI175" s="205"/>
      <c r="AJ175" s="205"/>
      <c r="AK175" s="205"/>
      <c r="AL175" s="205"/>
      <c r="AM175" s="41"/>
      <c r="AN175" s="41"/>
      <c r="AO175" s="41"/>
      <c r="AP175" s="38"/>
      <c r="AQ175" s="38"/>
      <c r="AR175" s="38"/>
      <c r="AS175" s="205"/>
      <c r="AT175" s="205"/>
      <c r="AU175" s="205"/>
      <c r="AV175" s="235"/>
      <c r="AW175" s="41"/>
      <c r="AX175" s="41"/>
      <c r="AY175" s="41"/>
      <c r="AZ175" s="41"/>
      <c r="BA175" s="41"/>
      <c r="BB175" s="237"/>
      <c r="BC175" s="41"/>
      <c r="BD175" s="41"/>
      <c r="BE175" s="210"/>
      <c r="BF175" s="41"/>
      <c r="BG175" s="41"/>
      <c r="BH175" s="237"/>
      <c r="BI175" s="41"/>
      <c r="BJ175" s="41"/>
      <c r="BK175" s="41"/>
      <c r="BL175" s="41"/>
      <c r="BM175" s="41"/>
      <c r="BN175" s="216"/>
      <c r="BO175" s="205"/>
      <c r="BP175" s="205"/>
      <c r="BQ175" s="205"/>
      <c r="BR175" s="205"/>
      <c r="BS175" s="205"/>
      <c r="BT175" s="235"/>
      <c r="BU175" s="41"/>
      <c r="BV175" s="41"/>
      <c r="BW175" s="41"/>
      <c r="BX175" s="514"/>
      <c r="BY175" s="515"/>
      <c r="BZ175" s="235"/>
      <c r="CA175" s="41"/>
      <c r="CB175" s="41"/>
      <c r="CC175" s="41"/>
      <c r="CD175" s="205"/>
      <c r="CE175" s="205"/>
      <c r="CF175" s="205"/>
      <c r="CG175" s="205"/>
      <c r="CH175" s="205"/>
      <c r="CI175" s="39"/>
      <c r="CJ175" s="407"/>
      <c r="CK175" s="407"/>
      <c r="CL175" s="38"/>
      <c r="CM175" s="38"/>
      <c r="CN175" s="38"/>
      <c r="CO175" s="39"/>
      <c r="CP175" s="205"/>
      <c r="CQ175" s="205"/>
      <c r="CR175" s="282"/>
      <c r="CS175" s="205"/>
      <c r="CT175" s="41"/>
      <c r="CU175" s="41"/>
      <c r="CV175" s="41"/>
      <c r="CW175" s="41"/>
      <c r="CX175" s="237"/>
      <c r="CY175" s="41"/>
      <c r="CZ175" s="41"/>
      <c r="DA175" s="41"/>
      <c r="DB175" s="41"/>
      <c r="DC175" s="41"/>
      <c r="DD175" s="237"/>
      <c r="DE175" s="41"/>
      <c r="DF175" s="39"/>
      <c r="DG175" s="39"/>
      <c r="DH175" s="39"/>
      <c r="DI175" s="39"/>
      <c r="DJ175" s="243"/>
      <c r="DK175" s="39"/>
      <c r="DL175" s="39"/>
      <c r="DM175" s="39"/>
      <c r="DN175" s="39"/>
      <c r="DO175" s="39"/>
      <c r="DP175" s="243"/>
      <c r="DQ175" s="39">
        <f>DK175+Commerical!I173</f>
        <v>1404000</v>
      </c>
      <c r="DR175" s="39">
        <f>DL175+Commerical!J173</f>
        <v>619764.7058823529</v>
      </c>
      <c r="DS175" s="39">
        <f>DM175+Commerical!K173</f>
        <v>809647.0588235294</v>
      </c>
      <c r="DT175" s="39">
        <f>DN175+Commerical!L173</f>
        <v>855529.4117647059</v>
      </c>
      <c r="DU175" s="39">
        <f>DO175+Commerical!M173</f>
        <v>978352.9411764706</v>
      </c>
      <c r="DV175" s="243">
        <f>DP175+Commerical!N173</f>
        <v>1059294.1176470588</v>
      </c>
      <c r="DW175" s="138"/>
      <c r="DX175" s="39"/>
      <c r="DY175" s="38"/>
      <c r="DZ175" s="38"/>
      <c r="EA175" s="546"/>
      <c r="EB175" s="38"/>
      <c r="EC175" s="38"/>
      <c r="ED175" s="38"/>
    </row>
    <row r="176" spans="1:134" ht="12.75">
      <c r="A176" s="88" t="s">
        <v>660</v>
      </c>
      <c r="B176" s="29">
        <f>SUM(Commerical!C172:H173)*1000/SUM(Commerical!I172:N173)</f>
        <v>2.630295685047683</v>
      </c>
      <c r="C176" s="41">
        <v>71055</v>
      </c>
      <c r="D176" s="41">
        <v>43580</v>
      </c>
      <c r="E176" s="41">
        <v>51651</v>
      </c>
      <c r="F176" s="397">
        <v>42004</v>
      </c>
      <c r="G176" s="495">
        <v>47976</v>
      </c>
      <c r="H176" s="401"/>
      <c r="I176" s="41"/>
      <c r="J176" s="41"/>
      <c r="K176" s="41"/>
      <c r="L176" s="286"/>
      <c r="M176" s="626"/>
      <c r="N176" s="205"/>
      <c r="O176" s="205"/>
      <c r="P176" s="205"/>
      <c r="Q176" s="41"/>
      <c r="R176" s="272">
        <v>46279</v>
      </c>
      <c r="S176" s="41"/>
      <c r="T176" s="41"/>
      <c r="U176" s="41"/>
      <c r="V176" s="41"/>
      <c r="W176" s="41"/>
      <c r="X176" s="235"/>
      <c r="Y176" s="41"/>
      <c r="AD176" s="38"/>
      <c r="AE176" s="619"/>
      <c r="AF176" s="41"/>
      <c r="AG176" s="41"/>
      <c r="AH176" s="41"/>
      <c r="AI176" s="41"/>
      <c r="AJ176" s="41"/>
      <c r="AK176" s="41"/>
      <c r="AL176" s="41"/>
      <c r="AM176" s="41"/>
      <c r="AN176" s="41"/>
      <c r="AO176" s="41"/>
      <c r="AP176" s="38"/>
      <c r="AQ176" s="38"/>
      <c r="AR176" s="38"/>
      <c r="AS176" s="41"/>
      <c r="AT176" s="41"/>
      <c r="AU176" s="41"/>
      <c r="AV176" s="235"/>
      <c r="AW176" s="41">
        <f aca="true" t="shared" si="215" ref="AW176:AW189">C176+Y176</f>
        <v>71055</v>
      </c>
      <c r="AX176" s="41">
        <f aca="true" t="shared" si="216" ref="AX176:AX185">D176+Z176</f>
        <v>43580</v>
      </c>
      <c r="AY176" s="41">
        <f aca="true" t="shared" si="217" ref="AY176:AY185">E176+AA176</f>
        <v>51651</v>
      </c>
      <c r="AZ176" s="41">
        <f aca="true" t="shared" si="218" ref="AZ176:AZ185">F176+AB176</f>
        <v>42004</v>
      </c>
      <c r="BA176" s="41">
        <f>G176+AC181</f>
        <v>49041</v>
      </c>
      <c r="BB176" s="237">
        <f aca="true" t="shared" si="219" ref="BB176:BB185">R176+AD176</f>
        <v>46279</v>
      </c>
      <c r="BC176" s="41">
        <f aca="true" t="shared" si="220" ref="BC176:BC199">AW176*1000/0.45359237/$B176</f>
        <v>59555836.73955841</v>
      </c>
      <c r="BD176" s="41">
        <f aca="true" t="shared" si="221" ref="BD176:BD185">AX176*1000/0.45359237/$B176</f>
        <v>36527244.60080157</v>
      </c>
      <c r="BE176" s="41">
        <f aca="true" t="shared" si="222" ref="BE176:BE185">AY176*1000/0.45359237/$B176</f>
        <v>43292076.89022492</v>
      </c>
      <c r="BF176" s="41">
        <f aca="true" t="shared" si="223" ref="BF176:BF185">AZ176*1000/0.45359237/$B176</f>
        <v>35206296.05810163</v>
      </c>
      <c r="BG176" s="41">
        <f aca="true" t="shared" si="224" ref="BG176:BG185">BA176*1000/0.45359237/$B176</f>
        <v>41104465.40770789</v>
      </c>
      <c r="BH176" s="237">
        <f aca="true" t="shared" si="225" ref="BH176:BH185">BB176*1000/0.45359237/$B176</f>
        <v>38789452.796707116</v>
      </c>
      <c r="BI176" s="41">
        <v>8477</v>
      </c>
      <c r="BJ176" s="41">
        <v>4957</v>
      </c>
      <c r="BK176" s="41">
        <v>5479</v>
      </c>
      <c r="BL176" s="397">
        <v>5549</v>
      </c>
      <c r="BM176" s="397">
        <v>2123</v>
      </c>
      <c r="BN176" s="235">
        <v>4793</v>
      </c>
      <c r="BO176" s="41"/>
      <c r="BP176" s="41"/>
      <c r="BQ176" s="41"/>
      <c r="BR176" s="205"/>
      <c r="BS176" s="41"/>
      <c r="BT176" s="235"/>
      <c r="BU176" s="41"/>
      <c r="BV176" s="41"/>
      <c r="BW176" s="41"/>
      <c r="BX176" s="286"/>
      <c r="BY176" s="286"/>
      <c r="BZ176" s="238"/>
      <c r="CA176" s="38"/>
      <c r="CB176" s="38"/>
      <c r="CC176" s="41"/>
      <c r="CD176" s="205"/>
      <c r="CE176" s="205"/>
      <c r="CF176" s="205"/>
      <c r="CG176" s="205"/>
      <c r="CH176" s="205"/>
      <c r="CI176" s="39"/>
      <c r="CJ176" s="286"/>
      <c r="CK176" s="286"/>
      <c r="CL176" s="38"/>
      <c r="CM176" s="38"/>
      <c r="CN176" s="38"/>
      <c r="CO176" s="39"/>
      <c r="CP176" s="41"/>
      <c r="CQ176" s="41"/>
      <c r="CR176" s="237"/>
      <c r="CS176" s="41">
        <f aca="true" t="shared" si="226" ref="CS176:CX177">BI176+BU176</f>
        <v>8477</v>
      </c>
      <c r="CT176" s="41">
        <f t="shared" si="226"/>
        <v>4957</v>
      </c>
      <c r="CU176" s="41">
        <f t="shared" si="226"/>
        <v>5479</v>
      </c>
      <c r="CV176" s="41">
        <f t="shared" si="226"/>
        <v>5549</v>
      </c>
      <c r="CW176" s="41">
        <f t="shared" si="226"/>
        <v>2123</v>
      </c>
      <c r="CX176" s="237">
        <f t="shared" si="226"/>
        <v>4793</v>
      </c>
      <c r="CY176" s="41">
        <f>CS176*1000/0.45359237/$B176</f>
        <v>7105127.408925997</v>
      </c>
      <c r="CZ176" s="41">
        <f>CT176*1000/0.45359237/$B176</f>
        <v>4154785.48614441</v>
      </c>
      <c r="DA176" s="41">
        <f aca="true" t="shared" si="227" ref="DA176:DD177">CU176*1000/0.45359237/$B176</f>
        <v>4592307.7826478155</v>
      </c>
      <c r="DB176" s="41">
        <f t="shared" si="227"/>
        <v>4650979.354975859</v>
      </c>
      <c r="DC176" s="41">
        <f t="shared" si="227"/>
        <v>1779424.9721776443</v>
      </c>
      <c r="DD176" s="237">
        <f t="shared" si="227"/>
        <v>4017326.3738329955</v>
      </c>
      <c r="DE176" s="39">
        <f aca="true" t="shared" si="228" ref="DE176:DE185">AW176-CS176</f>
        <v>62578</v>
      </c>
      <c r="DF176" s="39">
        <f aca="true" t="shared" si="229" ref="DF176:DF185">AX176-CT176</f>
        <v>38623</v>
      </c>
      <c r="DG176" s="39">
        <f aca="true" t="shared" si="230" ref="DG176:DG185">AY176-CU176</f>
        <v>46172</v>
      </c>
      <c r="DH176" s="39">
        <f aca="true" t="shared" si="231" ref="DH176:DH185">AZ176-CV176</f>
        <v>36455</v>
      </c>
      <c r="DI176" s="39">
        <f aca="true" t="shared" si="232" ref="DI176:DI185">BA176-CW176</f>
        <v>46918</v>
      </c>
      <c r="DJ176" s="243">
        <f aca="true" t="shared" si="233" ref="DJ176:DJ185">BB176-CX176</f>
        <v>41486</v>
      </c>
      <c r="DK176" s="39">
        <f aca="true" t="shared" si="234" ref="DK176:DK195">BC176-CY176</f>
        <v>52450709.33063242</v>
      </c>
      <c r="DL176" s="39">
        <f aca="true" t="shared" si="235" ref="DL176:DP177">BD176-CZ176</f>
        <v>32372459.114657164</v>
      </c>
      <c r="DM176" s="39">
        <f t="shared" si="235"/>
        <v>38699769.1075771</v>
      </c>
      <c r="DN176" s="39">
        <f t="shared" si="235"/>
        <v>30555316.703125775</v>
      </c>
      <c r="DO176" s="39">
        <f t="shared" si="235"/>
        <v>39325040.435530245</v>
      </c>
      <c r="DP176" s="243">
        <f t="shared" si="235"/>
        <v>34772126.42287412</v>
      </c>
      <c r="DQ176" s="39">
        <f>DK176+Commerical!I174</f>
        <v>52450709.33063242</v>
      </c>
      <c r="DR176" s="39">
        <f>DL176+Commerical!J174</f>
        <v>32372459.114657164</v>
      </c>
      <c r="DS176" s="39">
        <f>DM176+Commerical!K174</f>
        <v>38699769.1075771</v>
      </c>
      <c r="DT176" s="39">
        <f>DN176+Commerical!L174</f>
        <v>30555316.703125775</v>
      </c>
      <c r="DU176" s="39">
        <f>DO176+Commerical!M174</f>
        <v>39325040.435530245</v>
      </c>
      <c r="DV176" s="243">
        <f>DP176+Commerical!N174</f>
        <v>34772126.42287412</v>
      </c>
      <c r="DW176" s="138"/>
      <c r="DX176" s="39"/>
      <c r="DY176" s="38"/>
      <c r="DZ176" s="38"/>
      <c r="EA176" s="546"/>
      <c r="EB176" s="38"/>
      <c r="EC176" s="38"/>
      <c r="ED176" s="38"/>
    </row>
    <row r="177" spans="1:134" ht="12.75">
      <c r="A177" s="88" t="s">
        <v>303</v>
      </c>
      <c r="B177" s="29">
        <f>Commerical!B175</f>
        <v>3.254020833333333</v>
      </c>
      <c r="C177" s="41">
        <v>8374</v>
      </c>
      <c r="D177" s="41">
        <v>8679</v>
      </c>
      <c r="E177" s="41">
        <v>9420</v>
      </c>
      <c r="F177" s="397">
        <v>11552</v>
      </c>
      <c r="G177" s="495">
        <v>11527</v>
      </c>
      <c r="H177" s="401"/>
      <c r="I177" s="41"/>
      <c r="J177" s="41"/>
      <c r="K177" s="41"/>
      <c r="L177" s="286"/>
      <c r="M177" s="626"/>
      <c r="N177" s="205"/>
      <c r="O177" s="205"/>
      <c r="P177" s="205"/>
      <c r="Q177" s="41"/>
      <c r="R177" s="272">
        <v>10080</v>
      </c>
      <c r="S177" s="41"/>
      <c r="T177" s="41"/>
      <c r="U177" s="41"/>
      <c r="V177" s="41"/>
      <c r="W177" s="41"/>
      <c r="X177" s="235"/>
      <c r="Y177" s="41"/>
      <c r="AD177" s="38"/>
      <c r="AE177" s="619"/>
      <c r="AF177" s="41"/>
      <c r="AG177" s="41"/>
      <c r="AH177" s="41"/>
      <c r="AI177" s="41"/>
      <c r="AJ177" s="41"/>
      <c r="AK177" s="41"/>
      <c r="AL177" s="41"/>
      <c r="AM177" s="41"/>
      <c r="AN177" s="41"/>
      <c r="AO177" s="41"/>
      <c r="AP177" s="38"/>
      <c r="AQ177" s="38"/>
      <c r="AR177" s="38"/>
      <c r="AS177" s="41"/>
      <c r="AT177" s="41"/>
      <c r="AU177" s="41"/>
      <c r="AV177" s="235"/>
      <c r="AW177" s="41">
        <f t="shared" si="215"/>
        <v>8374</v>
      </c>
      <c r="AX177" s="41">
        <f t="shared" si="216"/>
        <v>8679</v>
      </c>
      <c r="AY177" s="41">
        <f t="shared" si="217"/>
        <v>9420</v>
      </c>
      <c r="AZ177" s="41">
        <f t="shared" si="218"/>
        <v>11552</v>
      </c>
      <c r="BA177" s="41">
        <f>G177+AC183</f>
        <v>18883</v>
      </c>
      <c r="BB177" s="237">
        <f t="shared" si="219"/>
        <v>10080</v>
      </c>
      <c r="BC177" s="41">
        <f t="shared" si="220"/>
        <v>5673445.4943394335</v>
      </c>
      <c r="BD177" s="41">
        <f t="shared" si="221"/>
        <v>5880085.1976799555</v>
      </c>
      <c r="BE177" s="41">
        <f t="shared" si="222"/>
        <v>6382118.050713813</v>
      </c>
      <c r="BF177" s="41">
        <f t="shared" si="223"/>
        <v>7826563.452425262</v>
      </c>
      <c r="BG177" s="41">
        <f t="shared" si="224"/>
        <v>12793368.912062516</v>
      </c>
      <c r="BH177" s="237">
        <f t="shared" si="225"/>
        <v>6829272.818598219</v>
      </c>
      <c r="BI177" s="41">
        <v>13543</v>
      </c>
      <c r="BJ177" s="41">
        <v>8652</v>
      </c>
      <c r="BK177" s="41">
        <v>6625</v>
      </c>
      <c r="BL177" s="397">
        <v>7023</v>
      </c>
      <c r="BM177" s="397">
        <v>5926</v>
      </c>
      <c r="BN177" s="235">
        <v>5783</v>
      </c>
      <c r="BO177" s="41"/>
      <c r="BP177" s="41"/>
      <c r="BQ177" s="41"/>
      <c r="BR177" s="205"/>
      <c r="BS177" s="41"/>
      <c r="BT177" s="235"/>
      <c r="BU177" s="41"/>
      <c r="BV177" s="41"/>
      <c r="BW177" s="41"/>
      <c r="BX177" s="286"/>
      <c r="BY177" s="286"/>
      <c r="BZ177" s="238"/>
      <c r="CA177" s="38"/>
      <c r="CB177" s="38"/>
      <c r="CC177" s="41"/>
      <c r="CD177" s="205"/>
      <c r="CE177" s="205"/>
      <c r="CF177" s="205"/>
      <c r="CG177" s="205"/>
      <c r="CH177" s="205"/>
      <c r="CI177" s="39"/>
      <c r="CJ177" s="286"/>
      <c r="CK177" s="286"/>
      <c r="CL177" s="38"/>
      <c r="CM177" s="38"/>
      <c r="CN177" s="38"/>
      <c r="CO177" s="39"/>
      <c r="CP177" s="41"/>
      <c r="CQ177" s="41"/>
      <c r="CR177" s="237"/>
      <c r="CS177" s="41">
        <f t="shared" si="226"/>
        <v>13543</v>
      </c>
      <c r="CT177" s="41">
        <f t="shared" si="226"/>
        <v>8652</v>
      </c>
      <c r="CU177" s="41">
        <f t="shared" si="226"/>
        <v>6625</v>
      </c>
      <c r="CV177" s="41">
        <f t="shared" si="226"/>
        <v>7023</v>
      </c>
      <c r="CW177" s="41">
        <f t="shared" si="226"/>
        <v>5926</v>
      </c>
      <c r="CX177" s="237">
        <f t="shared" si="226"/>
        <v>5783</v>
      </c>
      <c r="CY177" s="41">
        <f>CS177*1000/0.45359237/$B177</f>
        <v>9175480.335543223</v>
      </c>
      <c r="CZ177" s="41">
        <f>CT177*1000/0.45359237/$B177</f>
        <v>5861792.502630139</v>
      </c>
      <c r="DA177" s="41">
        <f t="shared" si="227"/>
        <v>4488485.359445754</v>
      </c>
      <c r="DB177" s="41">
        <f t="shared" si="227"/>
        <v>4758133.234624533</v>
      </c>
      <c r="DC177" s="41">
        <f t="shared" si="227"/>
        <v>4014907.8098227233</v>
      </c>
      <c r="DD177" s="237">
        <f t="shared" si="227"/>
        <v>3918024.2767811017</v>
      </c>
      <c r="DE177" s="39">
        <f t="shared" si="228"/>
        <v>-5169</v>
      </c>
      <c r="DF177" s="39">
        <f t="shared" si="229"/>
        <v>27</v>
      </c>
      <c r="DG177" s="39">
        <f t="shared" si="230"/>
        <v>2795</v>
      </c>
      <c r="DH177" s="39">
        <f t="shared" si="231"/>
        <v>4529</v>
      </c>
      <c r="DI177" s="39">
        <f t="shared" si="232"/>
        <v>12957</v>
      </c>
      <c r="DJ177" s="243">
        <f t="shared" si="233"/>
        <v>4297</v>
      </c>
      <c r="DK177" s="39">
        <f t="shared" si="234"/>
        <v>-3502034.841203789</v>
      </c>
      <c r="DL177" s="39">
        <f t="shared" si="235"/>
        <v>18292.695049816743</v>
      </c>
      <c r="DM177" s="39">
        <f t="shared" si="235"/>
        <v>1893632.6912680585</v>
      </c>
      <c r="DN177" s="39">
        <f t="shared" si="235"/>
        <v>3068430.217800729</v>
      </c>
      <c r="DO177" s="39">
        <f t="shared" si="235"/>
        <v>8778461.102239793</v>
      </c>
      <c r="DP177" s="243">
        <f t="shared" si="235"/>
        <v>2911248.5418171175</v>
      </c>
      <c r="DQ177" s="39">
        <f>DK177+Commerical!I175</f>
        <v>815392.9564567972</v>
      </c>
      <c r="DR177" s="39">
        <f>DL177+Commerical!J175</f>
        <v>4271492.262251932</v>
      </c>
      <c r="DS177" s="39">
        <f>DM177+Commerical!K175</f>
        <v>6341668.134597786</v>
      </c>
      <c r="DT177" s="39">
        <f>DN177+Commerical!L175</f>
        <v>7983887.376572249</v>
      </c>
      <c r="DU177" s="39">
        <f>DO177+Commerical!M175</f>
        <v>13692074.388366573</v>
      </c>
      <c r="DV177" s="243">
        <f>DP177+Commerical!N175</f>
        <v>7339001.386054696</v>
      </c>
      <c r="DW177" s="138"/>
      <c r="DX177" s="39"/>
      <c r="DY177" s="38"/>
      <c r="DZ177" s="38"/>
      <c r="EA177" s="546"/>
      <c r="EB177" s="38"/>
      <c r="EC177" s="38"/>
      <c r="ED177" s="38"/>
    </row>
    <row r="178" spans="1:134" ht="12.75">
      <c r="A178" s="88" t="s">
        <v>661</v>
      </c>
      <c r="B178" s="29">
        <f>'Ave weights'!Q131</f>
        <v>0.333</v>
      </c>
      <c r="C178" s="41"/>
      <c r="E178" s="41"/>
      <c r="F178" s="41"/>
      <c r="G178" s="235"/>
      <c r="H178" s="41"/>
      <c r="I178" s="41"/>
      <c r="J178" s="41"/>
      <c r="K178" s="41"/>
      <c r="L178" s="286"/>
      <c r="M178" s="626"/>
      <c r="N178" s="205"/>
      <c r="O178" s="205"/>
      <c r="P178" s="205"/>
      <c r="Q178" s="205"/>
      <c r="R178" s="271"/>
      <c r="S178" s="205"/>
      <c r="T178" s="205"/>
      <c r="U178" s="205"/>
      <c r="V178" s="205"/>
      <c r="W178" s="205"/>
      <c r="X178" s="216"/>
      <c r="Y178" s="205"/>
      <c r="AB178" s="397">
        <v>23343</v>
      </c>
      <c r="AC178" s="397">
        <v>21679</v>
      </c>
      <c r="AD178" s="38"/>
      <c r="AE178" s="619"/>
      <c r="AF178" s="205"/>
      <c r="AG178" s="205"/>
      <c r="AH178" s="205"/>
      <c r="AI178" s="205"/>
      <c r="AJ178" s="205"/>
      <c r="AK178" s="205"/>
      <c r="AL178" s="205"/>
      <c r="AM178" s="41"/>
      <c r="AN178" s="41"/>
      <c r="AO178" s="41"/>
      <c r="AP178" s="38"/>
      <c r="AQ178" s="38"/>
      <c r="AR178" s="38"/>
      <c r="AS178" s="205"/>
      <c r="AT178" s="205"/>
      <c r="AU178" s="205"/>
      <c r="AV178" s="235"/>
      <c r="AW178" s="41">
        <f t="shared" si="215"/>
        <v>0</v>
      </c>
      <c r="AX178" s="41">
        <f t="shared" si="216"/>
        <v>0</v>
      </c>
      <c r="AY178" s="41">
        <f t="shared" si="217"/>
        <v>0</v>
      </c>
      <c r="AZ178" s="41">
        <f t="shared" si="218"/>
        <v>23343</v>
      </c>
      <c r="BA178" s="41">
        <f aca="true" t="shared" si="236" ref="BA178:BA185">G178+AC178</f>
        <v>21679</v>
      </c>
      <c r="BB178" s="237">
        <f t="shared" si="219"/>
        <v>0</v>
      </c>
      <c r="BC178" s="41">
        <f t="shared" si="220"/>
        <v>0</v>
      </c>
      <c r="BD178" s="41">
        <f t="shared" si="221"/>
        <v>0</v>
      </c>
      <c r="BE178" s="41">
        <f t="shared" si="222"/>
        <v>0</v>
      </c>
      <c r="BF178" s="41">
        <f t="shared" si="223"/>
        <v>154542059.645093</v>
      </c>
      <c r="BG178" s="41">
        <f t="shared" si="224"/>
        <v>143525567.02420303</v>
      </c>
      <c r="BH178" s="237">
        <f t="shared" si="225"/>
        <v>0</v>
      </c>
      <c r="BI178" s="41"/>
      <c r="BJ178" s="41"/>
      <c r="BK178" s="41"/>
      <c r="BL178" s="41"/>
      <c r="BM178" s="41"/>
      <c r="BN178" s="216"/>
      <c r="BO178" s="205"/>
      <c r="BP178" s="205"/>
      <c r="BQ178" s="205"/>
      <c r="BR178" s="205"/>
      <c r="BS178" s="205"/>
      <c r="BT178" s="235"/>
      <c r="BU178" s="41"/>
      <c r="BV178" s="41"/>
      <c r="BW178" s="41"/>
      <c r="BX178" s="286"/>
      <c r="BY178" s="286"/>
      <c r="BZ178" s="238"/>
      <c r="CA178" s="38"/>
      <c r="CB178" s="38"/>
      <c r="CC178" s="41"/>
      <c r="CD178" s="205"/>
      <c r="CE178" s="205"/>
      <c r="CF178" s="205"/>
      <c r="CG178" s="205"/>
      <c r="CH178" s="205"/>
      <c r="CI178" s="39"/>
      <c r="CJ178" s="286"/>
      <c r="CK178" s="286"/>
      <c r="CL178" s="38"/>
      <c r="CM178" s="38"/>
      <c r="CN178" s="38"/>
      <c r="CO178" s="39"/>
      <c r="CP178" s="205"/>
      <c r="CQ178" s="205"/>
      <c r="CR178" s="282"/>
      <c r="CS178" s="205"/>
      <c r="CT178" s="41"/>
      <c r="CU178" s="41"/>
      <c r="CV178" s="41"/>
      <c r="CW178" s="41"/>
      <c r="CX178" s="237"/>
      <c r="CY178" s="41"/>
      <c r="CZ178" s="41"/>
      <c r="DA178" s="41"/>
      <c r="DB178" s="41"/>
      <c r="DC178" s="41"/>
      <c r="DD178" s="237"/>
      <c r="DE178" s="39">
        <f t="shared" si="228"/>
        <v>0</v>
      </c>
      <c r="DF178" s="39">
        <f t="shared" si="229"/>
        <v>0</v>
      </c>
      <c r="DG178" s="39">
        <f t="shared" si="230"/>
        <v>0</v>
      </c>
      <c r="DH178" s="39">
        <f t="shared" si="231"/>
        <v>23343</v>
      </c>
      <c r="DI178" s="39">
        <f t="shared" si="232"/>
        <v>21679</v>
      </c>
      <c r="DJ178" s="243">
        <f t="shared" si="233"/>
        <v>0</v>
      </c>
      <c r="DK178" s="39">
        <f t="shared" si="234"/>
        <v>0</v>
      </c>
      <c r="DL178" s="39">
        <f aca="true" t="shared" si="237" ref="DL178:DL185">BD178-CZ178</f>
        <v>0</v>
      </c>
      <c r="DM178" s="39">
        <f aca="true" t="shared" si="238" ref="DM178:DP185">BE178-DA178</f>
        <v>0</v>
      </c>
      <c r="DN178" s="39">
        <f t="shared" si="238"/>
        <v>154542059.645093</v>
      </c>
      <c r="DO178" s="39">
        <f t="shared" si="238"/>
        <v>143525567.02420303</v>
      </c>
      <c r="DP178" s="243">
        <f t="shared" si="238"/>
        <v>0</v>
      </c>
      <c r="DQ178" s="39">
        <f>DK178+Commerical!I176</f>
        <v>0</v>
      </c>
      <c r="DR178" s="39">
        <f>DL178+Commerical!J176</f>
        <v>0</v>
      </c>
      <c r="DS178" s="39">
        <f>DM178+Commerical!K176</f>
        <v>0</v>
      </c>
      <c r="DT178" s="39">
        <f>DN178+Commerical!L176</f>
        <v>154542059.645093</v>
      </c>
      <c r="DU178" s="39">
        <f>DO178+Commerical!M176</f>
        <v>143525567.02420303</v>
      </c>
      <c r="DV178" s="243">
        <f>DP178+Commerical!N176</f>
        <v>0</v>
      </c>
      <c r="DW178" s="138"/>
      <c r="DX178" s="39"/>
      <c r="DY178" s="38"/>
      <c r="DZ178" s="38"/>
      <c r="EA178" s="546"/>
      <c r="EB178" s="38"/>
      <c r="EC178" s="38"/>
      <c r="ED178" s="38"/>
    </row>
    <row r="179" spans="1:134" ht="12.75">
      <c r="A179" s="88" t="s">
        <v>704</v>
      </c>
      <c r="B179" s="29">
        <f>0.14*B171</f>
        <v>0.31325000000000003</v>
      </c>
      <c r="C179" s="41"/>
      <c r="D179" s="41">
        <v>0</v>
      </c>
      <c r="E179" s="41">
        <v>0</v>
      </c>
      <c r="F179" s="398">
        <v>0</v>
      </c>
      <c r="G179" s="494">
        <v>8</v>
      </c>
      <c r="H179" s="401"/>
      <c r="I179" s="41"/>
      <c r="J179" s="41"/>
      <c r="K179" s="41"/>
      <c r="L179" s="41"/>
      <c r="M179" s="41"/>
      <c r="N179" s="205"/>
      <c r="O179" s="205"/>
      <c r="P179" s="205"/>
      <c r="Q179" s="41"/>
      <c r="R179" s="272">
        <v>4</v>
      </c>
      <c r="S179" s="41"/>
      <c r="T179" s="41"/>
      <c r="U179" s="41"/>
      <c r="V179" s="41"/>
      <c r="W179" s="41"/>
      <c r="X179" s="235"/>
      <c r="Y179" s="41">
        <v>42</v>
      </c>
      <c r="Z179" s="41">
        <v>82</v>
      </c>
      <c r="AA179" s="41">
        <v>55</v>
      </c>
      <c r="AB179" s="398">
        <v>80</v>
      </c>
      <c r="AC179" s="398">
        <v>62</v>
      </c>
      <c r="AD179" s="41">
        <v>87</v>
      </c>
      <c r="AE179" s="616"/>
      <c r="AF179" s="41"/>
      <c r="AG179" s="41"/>
      <c r="AH179" s="41"/>
      <c r="AI179" s="41"/>
      <c r="AJ179" s="41"/>
      <c r="AK179" s="41"/>
      <c r="AL179" s="41"/>
      <c r="AM179" s="41"/>
      <c r="AN179" s="41"/>
      <c r="AO179" s="41"/>
      <c r="AP179" s="38"/>
      <c r="AQ179" s="38"/>
      <c r="AR179" s="38"/>
      <c r="AS179" s="41"/>
      <c r="AT179" s="41"/>
      <c r="AU179" s="41"/>
      <c r="AV179" s="235"/>
      <c r="AW179" s="41">
        <f t="shared" si="215"/>
        <v>42</v>
      </c>
      <c r="AX179" s="41">
        <f t="shared" si="216"/>
        <v>82</v>
      </c>
      <c r="AY179" s="41">
        <f t="shared" si="217"/>
        <v>55</v>
      </c>
      <c r="AZ179" s="41">
        <f t="shared" si="218"/>
        <v>80</v>
      </c>
      <c r="BA179" s="41">
        <f t="shared" si="236"/>
        <v>70</v>
      </c>
      <c r="BB179" s="237">
        <f t="shared" si="219"/>
        <v>91</v>
      </c>
      <c r="BC179" s="41">
        <f t="shared" si="220"/>
        <v>295591.859912685</v>
      </c>
      <c r="BD179" s="41">
        <f t="shared" si="221"/>
        <v>577107.916972385</v>
      </c>
      <c r="BE179" s="41">
        <f t="shared" si="222"/>
        <v>387084.5784570875</v>
      </c>
      <c r="BF179" s="41">
        <f t="shared" si="223"/>
        <v>563032.1141194</v>
      </c>
      <c r="BG179" s="41">
        <f t="shared" si="224"/>
        <v>492653.09985447495</v>
      </c>
      <c r="BH179" s="237">
        <f t="shared" si="225"/>
        <v>640449.0298108174</v>
      </c>
      <c r="BI179" s="41">
        <v>204</v>
      </c>
      <c r="BJ179" s="41">
        <v>2</v>
      </c>
      <c r="BK179" s="41">
        <v>64</v>
      </c>
      <c r="BL179" s="398">
        <v>200</v>
      </c>
      <c r="BM179" s="398">
        <v>1</v>
      </c>
      <c r="BN179" s="235">
        <v>8</v>
      </c>
      <c r="BO179" s="41"/>
      <c r="BP179" s="41"/>
      <c r="BQ179" s="41"/>
      <c r="BR179" s="205"/>
      <c r="BS179" s="41"/>
      <c r="BT179" s="235"/>
      <c r="BU179" s="41">
        <v>595</v>
      </c>
      <c r="BV179" s="205">
        <v>252</v>
      </c>
      <c r="BW179" s="41">
        <v>22</v>
      </c>
      <c r="BX179" s="400">
        <v>0</v>
      </c>
      <c r="BY179" s="400">
        <v>1</v>
      </c>
      <c r="BZ179" s="235">
        <v>0</v>
      </c>
      <c r="CA179" s="41"/>
      <c r="CB179" s="41"/>
      <c r="CC179" s="41"/>
      <c r="CD179" s="205"/>
      <c r="CE179" s="205"/>
      <c r="CF179" s="205"/>
      <c r="CG179" s="205"/>
      <c r="CH179" s="205"/>
      <c r="CI179" s="39"/>
      <c r="CJ179" s="286"/>
      <c r="CK179" s="286"/>
      <c r="CL179" s="38"/>
      <c r="CM179" s="38"/>
      <c r="CN179" s="38"/>
      <c r="CO179" s="39"/>
      <c r="CP179" s="41"/>
      <c r="CQ179" s="41"/>
      <c r="CR179" s="237"/>
      <c r="CS179" s="41">
        <f aca="true" t="shared" si="239" ref="CS179:CS199">BI179+BU179</f>
        <v>799</v>
      </c>
      <c r="CT179" s="41">
        <f aca="true" t="shared" si="240" ref="CT179:CX181">BJ179+BV179</f>
        <v>254</v>
      </c>
      <c r="CU179" s="41">
        <f t="shared" si="240"/>
        <v>86</v>
      </c>
      <c r="CV179" s="41">
        <f t="shared" si="240"/>
        <v>200</v>
      </c>
      <c r="CW179" s="41">
        <f t="shared" si="240"/>
        <v>2</v>
      </c>
      <c r="CX179" s="237">
        <f t="shared" si="240"/>
        <v>8</v>
      </c>
      <c r="CY179" s="41">
        <f aca="true" t="shared" si="241" ref="CY179:CZ181">CS179*1000/0.45359237/$B179</f>
        <v>5623283.239767507</v>
      </c>
      <c r="CZ179" s="41">
        <f t="shared" si="241"/>
        <v>1787626.9623290948</v>
      </c>
      <c r="DA179" s="41">
        <f aca="true" t="shared" si="242" ref="DA179:DD181">CU179*1000/0.45359237/$B179</f>
        <v>605259.5226783549</v>
      </c>
      <c r="DB179" s="41">
        <f t="shared" si="242"/>
        <v>1407580.2852984997</v>
      </c>
      <c r="DC179" s="41">
        <f t="shared" si="242"/>
        <v>14075.802852985</v>
      </c>
      <c r="DD179" s="237">
        <f t="shared" si="242"/>
        <v>56303.21141194</v>
      </c>
      <c r="DE179" s="39">
        <f t="shared" si="228"/>
        <v>-757</v>
      </c>
      <c r="DF179" s="39">
        <f t="shared" si="229"/>
        <v>-172</v>
      </c>
      <c r="DG179" s="39">
        <f t="shared" si="230"/>
        <v>-31</v>
      </c>
      <c r="DH179" s="39">
        <f t="shared" si="231"/>
        <v>-120</v>
      </c>
      <c r="DI179" s="39">
        <f t="shared" si="232"/>
        <v>68</v>
      </c>
      <c r="DJ179" s="243">
        <f t="shared" si="233"/>
        <v>83</v>
      </c>
      <c r="DK179" s="39">
        <f t="shared" si="234"/>
        <v>-5327691.379854822</v>
      </c>
      <c r="DL179" s="39">
        <f t="shared" si="237"/>
        <v>-1210519.0453567097</v>
      </c>
      <c r="DM179" s="39">
        <f t="shared" si="238"/>
        <v>-218174.94422126736</v>
      </c>
      <c r="DN179" s="39">
        <f t="shared" si="238"/>
        <v>-844548.1711790997</v>
      </c>
      <c r="DO179" s="39">
        <f t="shared" si="238"/>
        <v>478577.29700148996</v>
      </c>
      <c r="DP179" s="243">
        <f t="shared" si="238"/>
        <v>584145.8183988774</v>
      </c>
      <c r="DQ179" s="39">
        <f>DK179+Commerical!I177</f>
        <v>-5327691.379854822</v>
      </c>
      <c r="DR179" s="39">
        <f>DL179+Commerical!J177</f>
        <v>-1210519.0453567097</v>
      </c>
      <c r="DS179" s="39">
        <f>DM179+Commerical!K177</f>
        <v>-218174.94422126736</v>
      </c>
      <c r="DT179" s="39">
        <f>DN179+Commerical!L177</f>
        <v>-844548.1711790997</v>
      </c>
      <c r="DU179" s="39">
        <f>DO179+Commerical!M177</f>
        <v>478577.29700148996</v>
      </c>
      <c r="DV179" s="243">
        <f>DP179+Commerical!N177</f>
        <v>584145.8183988774</v>
      </c>
      <c r="DW179" s="138"/>
      <c r="DX179" s="39"/>
      <c r="DY179" s="38"/>
      <c r="DZ179" s="38"/>
      <c r="EA179" s="546"/>
      <c r="EB179" s="38"/>
      <c r="EC179" s="38"/>
      <c r="ED179" s="38"/>
    </row>
    <row r="180" spans="1:134" ht="12.75">
      <c r="A180" s="88" t="s">
        <v>705</v>
      </c>
      <c r="B180" s="29">
        <f>0.14*B173</f>
        <v>2.0125</v>
      </c>
      <c r="C180" s="41">
        <v>11</v>
      </c>
      <c r="D180" s="41">
        <v>182</v>
      </c>
      <c r="E180" s="41">
        <v>108</v>
      </c>
      <c r="F180" s="398">
        <v>33</v>
      </c>
      <c r="G180" s="494">
        <v>312</v>
      </c>
      <c r="H180" s="401"/>
      <c r="I180" s="205"/>
      <c r="J180" s="205"/>
      <c r="K180" s="205"/>
      <c r="L180" s="286"/>
      <c r="M180" s="626"/>
      <c r="N180" s="205"/>
      <c r="O180" s="205"/>
      <c r="P180" s="205"/>
      <c r="Q180" s="41"/>
      <c r="R180" s="272">
        <v>50</v>
      </c>
      <c r="S180" s="41"/>
      <c r="T180" s="41"/>
      <c r="U180" s="41"/>
      <c r="V180" s="41"/>
      <c r="W180" s="41"/>
      <c r="X180" s="235"/>
      <c r="Y180" s="41">
        <v>613</v>
      </c>
      <c r="Z180" s="41">
        <v>173</v>
      </c>
      <c r="AA180" s="398">
        <v>177</v>
      </c>
      <c r="AB180" s="398">
        <v>226</v>
      </c>
      <c r="AC180" s="398">
        <v>368</v>
      </c>
      <c r="AD180" s="41">
        <v>169</v>
      </c>
      <c r="AE180" s="616"/>
      <c r="AF180" s="41"/>
      <c r="AG180" s="41"/>
      <c r="AH180" s="41"/>
      <c r="AI180" s="41"/>
      <c r="AJ180" s="41"/>
      <c r="AK180" s="41"/>
      <c r="AL180" s="41"/>
      <c r="AM180" s="41"/>
      <c r="AN180" s="41"/>
      <c r="AO180" s="41"/>
      <c r="AP180" s="38"/>
      <c r="AQ180" s="38"/>
      <c r="AR180" s="38"/>
      <c r="AS180" s="41"/>
      <c r="AT180" s="41"/>
      <c r="AU180" s="41"/>
      <c r="AV180" s="235"/>
      <c r="AW180" s="41">
        <f t="shared" si="215"/>
        <v>624</v>
      </c>
      <c r="AX180" s="41">
        <f t="shared" si="216"/>
        <v>355</v>
      </c>
      <c r="AY180" s="41">
        <f t="shared" si="217"/>
        <v>285</v>
      </c>
      <c r="AZ180" s="41">
        <f t="shared" si="218"/>
        <v>259</v>
      </c>
      <c r="BA180" s="41">
        <f t="shared" si="236"/>
        <v>680</v>
      </c>
      <c r="BB180" s="237">
        <f t="shared" si="219"/>
        <v>219</v>
      </c>
      <c r="BC180" s="41">
        <f t="shared" si="220"/>
        <v>683569.9458552228</v>
      </c>
      <c r="BD180" s="41">
        <f t="shared" si="221"/>
        <v>388889.9531708399</v>
      </c>
      <c r="BE180" s="41">
        <f t="shared" si="222"/>
        <v>312207.4271934912</v>
      </c>
      <c r="BF180" s="41">
        <f t="shared" si="223"/>
        <v>283725.34611619025</v>
      </c>
      <c r="BG180" s="41">
        <f t="shared" si="224"/>
        <v>744915.9666371017</v>
      </c>
      <c r="BH180" s="237">
        <f t="shared" si="225"/>
        <v>239906.75984341957</v>
      </c>
      <c r="BI180" s="41">
        <v>953</v>
      </c>
      <c r="BJ180" s="41">
        <v>681</v>
      </c>
      <c r="BK180" s="41">
        <v>921</v>
      </c>
      <c r="BL180" s="398">
        <v>177</v>
      </c>
      <c r="BM180" s="398">
        <v>78</v>
      </c>
      <c r="BN180" s="235">
        <v>103</v>
      </c>
      <c r="BO180" s="41"/>
      <c r="BP180" s="41"/>
      <c r="BQ180" s="41"/>
      <c r="BR180" s="205"/>
      <c r="BS180" s="41"/>
      <c r="BT180" s="235"/>
      <c r="BU180" s="41">
        <v>63</v>
      </c>
      <c r="BV180" s="205">
        <v>8</v>
      </c>
      <c r="BW180" s="41">
        <v>9</v>
      </c>
      <c r="BX180" s="400">
        <v>6</v>
      </c>
      <c r="BY180" s="400">
        <v>30</v>
      </c>
      <c r="BZ180" s="235">
        <v>21</v>
      </c>
      <c r="CA180" s="41"/>
      <c r="CB180" s="41"/>
      <c r="CC180" s="41"/>
      <c r="CD180" s="205"/>
      <c r="CE180" s="205"/>
      <c r="CF180" s="205"/>
      <c r="CG180" s="205"/>
      <c r="CH180" s="205"/>
      <c r="CI180" s="39"/>
      <c r="CJ180" s="286"/>
      <c r="CK180" s="286"/>
      <c r="CL180" s="38"/>
      <c r="CM180" s="38"/>
      <c r="CN180" s="38"/>
      <c r="CO180" s="39"/>
      <c r="CP180" s="41"/>
      <c r="CQ180" s="41"/>
      <c r="CR180" s="237"/>
      <c r="CS180" s="41">
        <f t="shared" si="239"/>
        <v>1016</v>
      </c>
      <c r="CT180" s="41">
        <f t="shared" si="240"/>
        <v>689</v>
      </c>
      <c r="CU180" s="41">
        <f t="shared" si="240"/>
        <v>930</v>
      </c>
      <c r="CV180" s="41">
        <f t="shared" si="240"/>
        <v>183</v>
      </c>
      <c r="CW180" s="41">
        <f t="shared" si="240"/>
        <v>108</v>
      </c>
      <c r="CX180" s="237">
        <f t="shared" si="240"/>
        <v>124</v>
      </c>
      <c r="CY180" s="41">
        <f t="shared" si="241"/>
        <v>1112992.0913283755</v>
      </c>
      <c r="CZ180" s="41">
        <f t="shared" si="241"/>
        <v>754775.1485484752</v>
      </c>
      <c r="DA180" s="41">
        <f t="shared" si="242"/>
        <v>1018782.1308419186</v>
      </c>
      <c r="DB180" s="41">
        <f t="shared" si="242"/>
        <v>200470.0321979259</v>
      </c>
      <c r="DC180" s="41">
        <f t="shared" si="242"/>
        <v>118310.18293648087</v>
      </c>
      <c r="DD180" s="237">
        <f t="shared" si="242"/>
        <v>135837.61744558913</v>
      </c>
      <c r="DE180" s="39">
        <f t="shared" si="228"/>
        <v>-392</v>
      </c>
      <c r="DF180" s="39">
        <f t="shared" si="229"/>
        <v>-334</v>
      </c>
      <c r="DG180" s="39">
        <f t="shared" si="230"/>
        <v>-645</v>
      </c>
      <c r="DH180" s="39">
        <f t="shared" si="231"/>
        <v>76</v>
      </c>
      <c r="DI180" s="39">
        <f t="shared" si="232"/>
        <v>572</v>
      </c>
      <c r="DJ180" s="243">
        <f t="shared" si="233"/>
        <v>95</v>
      </c>
      <c r="DK180" s="39">
        <f t="shared" si="234"/>
        <v>-429422.14547315275</v>
      </c>
      <c r="DL180" s="39">
        <f t="shared" si="237"/>
        <v>-365885.19537763536</v>
      </c>
      <c r="DM180" s="39">
        <f t="shared" si="238"/>
        <v>-706574.7036484275</v>
      </c>
      <c r="DN180" s="39">
        <f t="shared" si="238"/>
        <v>83255.31391826435</v>
      </c>
      <c r="DO180" s="39">
        <f t="shared" si="238"/>
        <v>626605.7837006209</v>
      </c>
      <c r="DP180" s="243">
        <f t="shared" si="238"/>
        <v>104069.14239783044</v>
      </c>
      <c r="DQ180" s="39">
        <f>DK180+Commerical!I178</f>
        <v>-429422.14547315275</v>
      </c>
      <c r="DR180" s="39">
        <f>DL180+Commerical!J178</f>
        <v>-365885.19537763536</v>
      </c>
      <c r="DS180" s="39">
        <f>DM180+Commerical!K178</f>
        <v>-706574.7036484275</v>
      </c>
      <c r="DT180" s="39">
        <f>DN180+Commerical!L178</f>
        <v>83255.31391826435</v>
      </c>
      <c r="DU180" s="39">
        <f>DO180+Commerical!M178</f>
        <v>626605.7837006209</v>
      </c>
      <c r="DV180" s="243">
        <f>DP180+Commerical!N178</f>
        <v>104069.14239783044</v>
      </c>
      <c r="DW180" s="138"/>
      <c r="DX180" s="39"/>
      <c r="DY180" s="38"/>
      <c r="DZ180" s="38"/>
      <c r="EA180" s="546"/>
      <c r="EB180" s="38"/>
      <c r="EC180" s="38"/>
      <c r="ED180" s="38"/>
    </row>
    <row r="181" spans="1:134" ht="13.5">
      <c r="A181" s="88" t="s">
        <v>678</v>
      </c>
      <c r="B181" s="29">
        <f>'Ave weights'!Q139</f>
        <v>1.292</v>
      </c>
      <c r="C181" s="41">
        <v>349</v>
      </c>
      <c r="D181" s="41">
        <v>676</v>
      </c>
      <c r="E181" s="41">
        <v>603</v>
      </c>
      <c r="F181" s="398">
        <v>570</v>
      </c>
      <c r="G181" s="495">
        <v>1205</v>
      </c>
      <c r="H181" s="401"/>
      <c r="I181" s="205"/>
      <c r="J181" s="205"/>
      <c r="K181" s="205"/>
      <c r="L181" s="286"/>
      <c r="M181" s="626"/>
      <c r="N181" s="205"/>
      <c r="O181" s="205"/>
      <c r="P181" s="205"/>
      <c r="Q181" s="41"/>
      <c r="R181" s="272">
        <v>1155</v>
      </c>
      <c r="S181" s="41"/>
      <c r="T181" s="41"/>
      <c r="U181" s="41"/>
      <c r="V181" s="41"/>
      <c r="W181" s="41"/>
      <c r="X181" s="235"/>
      <c r="Y181" s="41">
        <v>1960</v>
      </c>
      <c r="Z181" s="41">
        <v>1965</v>
      </c>
      <c r="AA181" s="41">
        <v>1655</v>
      </c>
      <c r="AB181" s="397">
        <v>1476</v>
      </c>
      <c r="AC181" s="397">
        <v>1065</v>
      </c>
      <c r="AD181" s="41">
        <v>775</v>
      </c>
      <c r="AE181" s="616"/>
      <c r="AF181" s="41"/>
      <c r="AG181" s="41"/>
      <c r="AH181" s="41"/>
      <c r="AI181" s="41"/>
      <c r="AJ181" s="41"/>
      <c r="AK181" s="41"/>
      <c r="AL181" s="41"/>
      <c r="AM181" s="41"/>
      <c r="AN181" s="41"/>
      <c r="AO181" s="41"/>
      <c r="AP181" s="38"/>
      <c r="AQ181" s="38"/>
      <c r="AR181" s="38"/>
      <c r="AS181" s="41"/>
      <c r="AT181" s="41"/>
      <c r="AU181" s="41"/>
      <c r="AV181" s="235"/>
      <c r="AW181" s="41">
        <f t="shared" si="215"/>
        <v>2309</v>
      </c>
      <c r="AX181" s="41">
        <f t="shared" si="216"/>
        <v>2641</v>
      </c>
      <c r="AY181" s="41">
        <f t="shared" si="217"/>
        <v>2258</v>
      </c>
      <c r="AZ181" s="41">
        <f t="shared" si="218"/>
        <v>2046</v>
      </c>
      <c r="BA181" s="41">
        <f t="shared" si="236"/>
        <v>2270</v>
      </c>
      <c r="BB181" s="237">
        <f t="shared" si="219"/>
        <v>1930</v>
      </c>
      <c r="BC181" s="41">
        <f t="shared" si="220"/>
        <v>3939995.0726384073</v>
      </c>
      <c r="BD181" s="41">
        <f t="shared" si="221"/>
        <v>4506508.006426174</v>
      </c>
      <c r="BE181" s="41">
        <f t="shared" si="222"/>
        <v>3852970.495460167</v>
      </c>
      <c r="BF181" s="41">
        <f t="shared" si="223"/>
        <v>3491221.272680027</v>
      </c>
      <c r="BG181" s="41">
        <f t="shared" si="224"/>
        <v>3873446.866560929</v>
      </c>
      <c r="BH181" s="237">
        <f t="shared" si="225"/>
        <v>3293283.018705989</v>
      </c>
      <c r="BI181" s="41">
        <v>241</v>
      </c>
      <c r="BJ181" s="41">
        <v>455</v>
      </c>
      <c r="BK181" s="41">
        <v>485</v>
      </c>
      <c r="BL181" s="398">
        <v>257</v>
      </c>
      <c r="BM181" s="398">
        <v>103</v>
      </c>
      <c r="BN181" s="235">
        <v>277</v>
      </c>
      <c r="BO181" s="41"/>
      <c r="BP181" s="41"/>
      <c r="BQ181" s="41"/>
      <c r="BR181" s="205"/>
      <c r="BS181" s="41"/>
      <c r="BT181" s="235"/>
      <c r="BU181" s="41">
        <v>65</v>
      </c>
      <c r="BV181" s="205">
        <v>48</v>
      </c>
      <c r="BW181" s="41">
        <v>76</v>
      </c>
      <c r="BX181" s="400">
        <v>55</v>
      </c>
      <c r="BY181" s="400">
        <v>49</v>
      </c>
      <c r="BZ181" s="235">
        <v>131</v>
      </c>
      <c r="CA181" s="41"/>
      <c r="CB181" s="41"/>
      <c r="CC181" s="41"/>
      <c r="CD181" s="205"/>
      <c r="CE181" s="205"/>
      <c r="CF181" s="205"/>
      <c r="CG181" s="205"/>
      <c r="CH181" s="205"/>
      <c r="CI181" s="39"/>
      <c r="CJ181" s="407"/>
      <c r="CK181" s="407"/>
      <c r="CL181" s="38"/>
      <c r="CM181" s="38"/>
      <c r="CN181" s="38"/>
      <c r="CO181" s="39"/>
      <c r="CP181" s="41"/>
      <c r="CQ181" s="41"/>
      <c r="CR181" s="237"/>
      <c r="CS181" s="41">
        <f t="shared" si="239"/>
        <v>306</v>
      </c>
      <c r="CT181" s="41">
        <f t="shared" si="240"/>
        <v>503</v>
      </c>
      <c r="CU181" s="41">
        <f t="shared" si="240"/>
        <v>561</v>
      </c>
      <c r="CV181" s="41">
        <f t="shared" si="240"/>
        <v>312</v>
      </c>
      <c r="CW181" s="41">
        <f t="shared" si="240"/>
        <v>152</v>
      </c>
      <c r="CX181" s="237">
        <f t="shared" si="240"/>
        <v>408</v>
      </c>
      <c r="CY181" s="41">
        <f t="shared" si="241"/>
        <v>522147.46306944685</v>
      </c>
      <c r="CZ181" s="41">
        <f t="shared" si="241"/>
        <v>858301.2219736332</v>
      </c>
      <c r="DA181" s="41">
        <f t="shared" si="242"/>
        <v>957270.3489606526</v>
      </c>
      <c r="DB181" s="41">
        <f t="shared" si="242"/>
        <v>532385.6486198282</v>
      </c>
      <c r="DC181" s="41">
        <f t="shared" si="242"/>
        <v>259367.36727632655</v>
      </c>
      <c r="DD181" s="237">
        <f t="shared" si="242"/>
        <v>696196.6174259292</v>
      </c>
      <c r="DE181" s="39">
        <f t="shared" si="228"/>
        <v>2003</v>
      </c>
      <c r="DF181" s="39">
        <f t="shared" si="229"/>
        <v>2138</v>
      </c>
      <c r="DG181" s="39">
        <f t="shared" si="230"/>
        <v>1697</v>
      </c>
      <c r="DH181" s="39">
        <f t="shared" si="231"/>
        <v>1734</v>
      </c>
      <c r="DI181" s="39">
        <f t="shared" si="232"/>
        <v>2118</v>
      </c>
      <c r="DJ181" s="243">
        <f t="shared" si="233"/>
        <v>1522</v>
      </c>
      <c r="DK181" s="39">
        <f t="shared" si="234"/>
        <v>3417847.6095689605</v>
      </c>
      <c r="DL181" s="39">
        <f t="shared" si="237"/>
        <v>3648206.784452541</v>
      </c>
      <c r="DM181" s="39">
        <f t="shared" si="238"/>
        <v>2895700.1464995146</v>
      </c>
      <c r="DN181" s="39">
        <f t="shared" si="238"/>
        <v>2958835.6240601987</v>
      </c>
      <c r="DO181" s="39">
        <f t="shared" si="238"/>
        <v>3614079.4992846022</v>
      </c>
      <c r="DP181" s="243">
        <f t="shared" si="238"/>
        <v>2597086.4012800595</v>
      </c>
      <c r="DQ181" s="39">
        <f>DK181+Commerical!I179</f>
        <v>3417847.6095689605</v>
      </c>
      <c r="DR181" s="39">
        <f>DL181+Commerical!J179</f>
        <v>3648206.784452541</v>
      </c>
      <c r="DS181" s="39">
        <f>DM181+Commerical!K179</f>
        <v>2895700.1464995146</v>
      </c>
      <c r="DT181" s="39">
        <f>DN181+Commerical!L179</f>
        <v>2958835.6240601987</v>
      </c>
      <c r="DU181" s="39">
        <f>DO181+Commerical!M179</f>
        <v>3614079.4992846022</v>
      </c>
      <c r="DV181" s="243">
        <f>DP181+Commerical!N179</f>
        <v>2597086.4012800595</v>
      </c>
      <c r="DW181" s="138"/>
      <c r="DX181" s="39"/>
      <c r="DY181" s="38"/>
      <c r="DZ181" s="38"/>
      <c r="EA181" s="546"/>
      <c r="EB181" s="38"/>
      <c r="EC181" s="38"/>
      <c r="ED181" s="38"/>
    </row>
    <row r="182" spans="1:134" ht="13.5">
      <c r="A182" s="88" t="s">
        <v>706</v>
      </c>
      <c r="B182" s="29">
        <f>0.14*B178</f>
        <v>0.04662000000000001</v>
      </c>
      <c r="C182" s="41">
        <v>1764</v>
      </c>
      <c r="D182" s="41">
        <v>1945</v>
      </c>
      <c r="E182" s="41">
        <v>1890</v>
      </c>
      <c r="F182" s="397">
        <v>2309</v>
      </c>
      <c r="G182" s="495">
        <v>2182</v>
      </c>
      <c r="H182" s="401"/>
      <c r="I182" s="205"/>
      <c r="J182" s="205"/>
      <c r="K182" s="205"/>
      <c r="L182" s="286"/>
      <c r="M182" s="626"/>
      <c r="N182" s="205"/>
      <c r="O182" s="205"/>
      <c r="P182" s="205"/>
      <c r="Q182" s="41"/>
      <c r="R182" s="272">
        <v>1725</v>
      </c>
      <c r="S182" s="41"/>
      <c r="T182" s="41"/>
      <c r="U182" s="41"/>
      <c r="V182" s="41"/>
      <c r="W182" s="41"/>
      <c r="X182" s="235"/>
      <c r="Y182" s="41">
        <v>16178</v>
      </c>
      <c r="Z182" s="41">
        <v>18238</v>
      </c>
      <c r="AA182" s="41">
        <v>16895</v>
      </c>
      <c r="AB182" s="205"/>
      <c r="AC182" s="38"/>
      <c r="AD182" s="41">
        <v>19805</v>
      </c>
      <c r="AE182" s="616"/>
      <c r="AF182" s="41"/>
      <c r="AG182" s="41"/>
      <c r="AH182" s="41"/>
      <c r="AI182" s="41"/>
      <c r="AJ182" s="41"/>
      <c r="AK182" s="41"/>
      <c r="AL182" s="41"/>
      <c r="AM182" s="41"/>
      <c r="AN182" s="41"/>
      <c r="AO182" s="41"/>
      <c r="AP182" s="38"/>
      <c r="AQ182" s="38"/>
      <c r="AR182" s="38"/>
      <c r="AS182" s="41"/>
      <c r="AT182" s="41"/>
      <c r="AU182" s="41"/>
      <c r="AV182" s="235"/>
      <c r="AW182" s="41">
        <f t="shared" si="215"/>
        <v>17942</v>
      </c>
      <c r="AX182" s="41">
        <f t="shared" si="216"/>
        <v>20183</v>
      </c>
      <c r="AY182" s="41">
        <f t="shared" si="217"/>
        <v>18785</v>
      </c>
      <c r="AZ182" s="41">
        <f t="shared" si="218"/>
        <v>2309</v>
      </c>
      <c r="BA182" s="41">
        <f t="shared" si="236"/>
        <v>2182</v>
      </c>
      <c r="BB182" s="237">
        <f t="shared" si="219"/>
        <v>21530</v>
      </c>
      <c r="BC182" s="41">
        <f t="shared" si="220"/>
        <v>848462871.7548418</v>
      </c>
      <c r="BD182" s="41">
        <f t="shared" si="221"/>
        <v>954437974.6197734</v>
      </c>
      <c r="BE182" s="41">
        <f t="shared" si="222"/>
        <v>888327669.4858267</v>
      </c>
      <c r="BF182" s="41">
        <f t="shared" si="223"/>
        <v>109190768.63682586</v>
      </c>
      <c r="BG182" s="41">
        <f t="shared" si="224"/>
        <v>103185039.9157878</v>
      </c>
      <c r="BH182" s="237">
        <f t="shared" si="225"/>
        <v>1018136530.4247991</v>
      </c>
      <c r="BI182" s="41"/>
      <c r="BJ182" s="41"/>
      <c r="BK182" s="508"/>
      <c r="BN182" s="235"/>
      <c r="BO182" s="41"/>
      <c r="BP182" s="41"/>
      <c r="BQ182" s="41"/>
      <c r="BR182" s="205"/>
      <c r="BS182" s="41"/>
      <c r="BT182" s="235"/>
      <c r="BU182" s="41"/>
      <c r="BV182" s="286"/>
      <c r="BW182" s="286"/>
      <c r="BX182" s="286"/>
      <c r="BY182" s="286"/>
      <c r="BZ182" s="235"/>
      <c r="CA182" s="41"/>
      <c r="CB182" s="41"/>
      <c r="CC182" s="41"/>
      <c r="CD182" s="205"/>
      <c r="CE182" s="205"/>
      <c r="CF182" s="205"/>
      <c r="CG182" s="205"/>
      <c r="CH182" s="205"/>
      <c r="CI182" s="39"/>
      <c r="CJ182" s="286"/>
      <c r="CK182" s="286"/>
      <c r="CL182" s="38"/>
      <c r="CM182" s="38"/>
      <c r="CN182" s="38"/>
      <c r="CO182" s="39"/>
      <c r="CP182" s="41"/>
      <c r="CQ182" s="41"/>
      <c r="CR182" s="237"/>
      <c r="CS182" s="41"/>
      <c r="CT182" s="41"/>
      <c r="CU182" s="41"/>
      <c r="CV182" s="41"/>
      <c r="CW182" s="41"/>
      <c r="CX182" s="237"/>
      <c r="CY182" s="41"/>
      <c r="CZ182" s="41"/>
      <c r="DA182" s="41"/>
      <c r="DB182" s="41"/>
      <c r="DC182" s="41"/>
      <c r="DD182" s="237"/>
      <c r="DE182" s="39">
        <f t="shared" si="228"/>
        <v>17942</v>
      </c>
      <c r="DF182" s="39">
        <f t="shared" si="229"/>
        <v>20183</v>
      </c>
      <c r="DG182" s="39">
        <f t="shared" si="230"/>
        <v>18785</v>
      </c>
      <c r="DH182" s="39">
        <f t="shared" si="231"/>
        <v>2309</v>
      </c>
      <c r="DI182" s="39">
        <f t="shared" si="232"/>
        <v>2182</v>
      </c>
      <c r="DJ182" s="243">
        <f t="shared" si="233"/>
        <v>21530</v>
      </c>
      <c r="DK182" s="39">
        <f t="shared" si="234"/>
        <v>848462871.7548418</v>
      </c>
      <c r="DL182" s="39">
        <f t="shared" si="237"/>
        <v>954437974.6197734</v>
      </c>
      <c r="DM182" s="39">
        <f t="shared" si="238"/>
        <v>888327669.4858267</v>
      </c>
      <c r="DN182" s="39">
        <f t="shared" si="238"/>
        <v>109190768.63682586</v>
      </c>
      <c r="DO182" s="39">
        <f t="shared" si="238"/>
        <v>103185039.9157878</v>
      </c>
      <c r="DP182" s="243">
        <f t="shared" si="238"/>
        <v>1018136530.4247991</v>
      </c>
      <c r="DQ182" s="39">
        <f>DK182+Commerical!I180</f>
        <v>848462871.7548418</v>
      </c>
      <c r="DR182" s="39">
        <f>DL182+Commerical!J180</f>
        <v>954437974.6197734</v>
      </c>
      <c r="DS182" s="39">
        <f>DM182+Commerical!K180</f>
        <v>888327669.4858267</v>
      </c>
      <c r="DT182" s="39">
        <f>DN182+Commerical!L180</f>
        <v>109190768.63682586</v>
      </c>
      <c r="DU182" s="39">
        <f>DO182+Commerical!M180</f>
        <v>103185039.9157878</v>
      </c>
      <c r="DV182" s="243">
        <f>DP182+Commerical!N180</f>
        <v>1018136530.4247991</v>
      </c>
      <c r="DW182" s="138"/>
      <c r="DX182" s="39"/>
      <c r="DY182" s="38"/>
      <c r="DZ182" s="38"/>
      <c r="EA182" s="546"/>
      <c r="EB182" s="38"/>
      <c r="EC182" s="38"/>
      <c r="ED182" s="38"/>
    </row>
    <row r="183" spans="1:134" ht="12.75">
      <c r="A183" s="88" t="s">
        <v>735</v>
      </c>
      <c r="B183" s="29">
        <f>0.14*B177</f>
        <v>0.4555629166666667</v>
      </c>
      <c r="C183" s="41">
        <v>2963</v>
      </c>
      <c r="D183" s="41">
        <v>4608</v>
      </c>
      <c r="E183" s="41">
        <v>5204</v>
      </c>
      <c r="F183" s="397">
        <v>6132</v>
      </c>
      <c r="G183" s="495">
        <v>8688</v>
      </c>
      <c r="H183" s="401"/>
      <c r="I183" s="205"/>
      <c r="J183" s="205"/>
      <c r="K183" s="205"/>
      <c r="L183" s="286"/>
      <c r="M183" s="626"/>
      <c r="N183" s="205"/>
      <c r="O183" s="205"/>
      <c r="P183" s="205"/>
      <c r="Q183" s="41"/>
      <c r="R183" s="272">
        <v>8245</v>
      </c>
      <c r="S183" s="41"/>
      <c r="T183" s="41"/>
      <c r="U183" s="41"/>
      <c r="V183" s="41"/>
      <c r="W183" s="41"/>
      <c r="X183" s="235"/>
      <c r="Y183" s="41">
        <v>11219</v>
      </c>
      <c r="Z183" s="41">
        <v>10377</v>
      </c>
      <c r="AA183" s="41">
        <v>8868</v>
      </c>
      <c r="AB183" s="397">
        <v>6656</v>
      </c>
      <c r="AC183" s="397">
        <v>7356</v>
      </c>
      <c r="AD183" s="41">
        <v>6833</v>
      </c>
      <c r="AE183" s="616"/>
      <c r="AF183" s="41"/>
      <c r="AG183" s="41"/>
      <c r="AH183" s="41"/>
      <c r="AI183" s="41"/>
      <c r="AJ183" s="41"/>
      <c r="AK183" s="41"/>
      <c r="AL183" s="41"/>
      <c r="AM183" s="41"/>
      <c r="AN183" s="41"/>
      <c r="AO183" s="41"/>
      <c r="AP183" s="38"/>
      <c r="AQ183" s="38"/>
      <c r="AR183" s="38"/>
      <c r="AS183" s="41"/>
      <c r="AT183" s="41"/>
      <c r="AU183" s="41"/>
      <c r="AV183" s="235"/>
      <c r="AW183" s="41">
        <f t="shared" si="215"/>
        <v>14182</v>
      </c>
      <c r="AX183" s="41">
        <f t="shared" si="216"/>
        <v>14985</v>
      </c>
      <c r="AY183" s="41">
        <f t="shared" si="217"/>
        <v>14072</v>
      </c>
      <c r="AZ183" s="41">
        <f t="shared" si="218"/>
        <v>12788</v>
      </c>
      <c r="BA183" s="41">
        <f t="shared" si="236"/>
        <v>16044</v>
      </c>
      <c r="BB183" s="237">
        <f t="shared" si="219"/>
        <v>15078</v>
      </c>
      <c r="BC183" s="41">
        <f t="shared" si="220"/>
        <v>68631481.79801583</v>
      </c>
      <c r="BD183" s="41">
        <f t="shared" si="221"/>
        <v>72517469.66177318</v>
      </c>
      <c r="BE183" s="41">
        <f t="shared" si="222"/>
        <v>68099154.69339153</v>
      </c>
      <c r="BF183" s="41">
        <f t="shared" si="223"/>
        <v>61885445.581231594</v>
      </c>
      <c r="BG183" s="41">
        <f t="shared" si="224"/>
        <v>77642327.87811069</v>
      </c>
      <c r="BH183" s="237">
        <f t="shared" si="225"/>
        <v>72967528.03204645</v>
      </c>
      <c r="BI183" s="41">
        <v>638</v>
      </c>
      <c r="BJ183" s="41">
        <v>667</v>
      </c>
      <c r="BK183" s="41">
        <v>812</v>
      </c>
      <c r="BL183" s="398">
        <v>556</v>
      </c>
      <c r="BM183" s="397">
        <v>1025</v>
      </c>
      <c r="BN183" s="235">
        <v>461</v>
      </c>
      <c r="BO183" s="41"/>
      <c r="BP183" s="41"/>
      <c r="BQ183" s="41"/>
      <c r="BR183" s="205"/>
      <c r="BS183" s="41"/>
      <c r="BT183" s="235"/>
      <c r="BU183" s="41">
        <v>617</v>
      </c>
      <c r="BV183" s="205">
        <v>733</v>
      </c>
      <c r="BW183" s="41">
        <v>719</v>
      </c>
      <c r="BX183" s="400">
        <v>751</v>
      </c>
      <c r="BY183" s="400">
        <v>309</v>
      </c>
      <c r="BZ183" s="235">
        <v>817</v>
      </c>
      <c r="CA183" s="41"/>
      <c r="CB183" s="41"/>
      <c r="CC183" s="41"/>
      <c r="CD183" s="205"/>
      <c r="CE183" s="205"/>
      <c r="CF183" s="205"/>
      <c r="CG183" s="205"/>
      <c r="CH183" s="205"/>
      <c r="CI183" s="39"/>
      <c r="CJ183" s="286"/>
      <c r="CK183" s="286"/>
      <c r="CL183" s="38"/>
      <c r="CM183" s="38"/>
      <c r="CN183" s="38"/>
      <c r="CO183" s="39"/>
      <c r="CP183" s="41"/>
      <c r="CQ183" s="41"/>
      <c r="CR183" s="237"/>
      <c r="CS183" s="41">
        <f t="shared" si="239"/>
        <v>1255</v>
      </c>
      <c r="CT183" s="41">
        <f aca="true" t="shared" si="243" ref="CT183:CX185">BJ183+BV183</f>
        <v>1400</v>
      </c>
      <c r="CU183" s="41">
        <f t="shared" si="243"/>
        <v>1531</v>
      </c>
      <c r="CV183" s="41">
        <f t="shared" si="243"/>
        <v>1307</v>
      </c>
      <c r="CW183" s="41">
        <f t="shared" si="243"/>
        <v>1334</v>
      </c>
      <c r="CX183" s="237">
        <f t="shared" si="243"/>
        <v>1278</v>
      </c>
      <c r="CY183" s="41">
        <f aca="true" t="shared" si="244" ref="CY183:CZ185">CS183*1000/0.45359237/$B183</f>
        <v>6073368.33003172</v>
      </c>
      <c r="CZ183" s="41">
        <f t="shared" si="244"/>
        <v>6775072.240672836</v>
      </c>
      <c r="DA183" s="41">
        <f aca="true" t="shared" si="245" ref="DA183:DD185">CU183*1000/0.45359237/$B183</f>
        <v>7409025.428907222</v>
      </c>
      <c r="DB183" s="41">
        <f t="shared" si="245"/>
        <v>6325013.870399568</v>
      </c>
      <c r="DC183" s="41">
        <f t="shared" si="245"/>
        <v>6455675.97789826</v>
      </c>
      <c r="DD183" s="237">
        <f t="shared" si="245"/>
        <v>6184673.088271345</v>
      </c>
      <c r="DE183" s="39">
        <f t="shared" si="228"/>
        <v>12927</v>
      </c>
      <c r="DF183" s="39">
        <f t="shared" si="229"/>
        <v>13585</v>
      </c>
      <c r="DG183" s="39">
        <f t="shared" si="230"/>
        <v>12541</v>
      </c>
      <c r="DH183" s="39">
        <f t="shared" si="231"/>
        <v>11481</v>
      </c>
      <c r="DI183" s="39">
        <f t="shared" si="232"/>
        <v>14710</v>
      </c>
      <c r="DJ183" s="243">
        <f t="shared" si="233"/>
        <v>13800</v>
      </c>
      <c r="DK183" s="39">
        <f t="shared" si="234"/>
        <v>62558113.46798411</v>
      </c>
      <c r="DL183" s="39">
        <f t="shared" si="237"/>
        <v>65742397.42110034</v>
      </c>
      <c r="DM183" s="39">
        <f t="shared" si="238"/>
        <v>60690129.26448431</v>
      </c>
      <c r="DN183" s="39">
        <f t="shared" si="238"/>
        <v>55560431.71083203</v>
      </c>
      <c r="DO183" s="39">
        <f t="shared" si="238"/>
        <v>71186651.90021244</v>
      </c>
      <c r="DP183" s="243">
        <f t="shared" si="238"/>
        <v>66782854.94377511</v>
      </c>
      <c r="DQ183" s="39">
        <f>DK183+Commerical!I181</f>
        <v>62558113.46798411</v>
      </c>
      <c r="DR183" s="39">
        <f>DL183+Commerical!J181</f>
        <v>65742397.42110034</v>
      </c>
      <c r="DS183" s="39">
        <f>DM183+Commerical!K181</f>
        <v>60690129.26448431</v>
      </c>
      <c r="DT183" s="39">
        <f>DN183+Commerical!L181</f>
        <v>55560431.71083203</v>
      </c>
      <c r="DU183" s="39">
        <f>DO183+Commerical!M181</f>
        <v>71186651.90021244</v>
      </c>
      <c r="DV183" s="243">
        <f>DP183+Commerical!N181</f>
        <v>66782854.94377511</v>
      </c>
      <c r="DW183" s="138"/>
      <c r="DX183" s="39"/>
      <c r="DY183" s="38"/>
      <c r="DZ183" s="38"/>
      <c r="EA183" s="547"/>
      <c r="EB183" s="213"/>
      <c r="EC183" s="38"/>
      <c r="ED183" s="38"/>
    </row>
    <row r="184" spans="1:134" ht="12.75">
      <c r="A184" s="88" t="s">
        <v>304</v>
      </c>
      <c r="B184" s="29">
        <f>Commerical!B182</f>
        <v>0.3125</v>
      </c>
      <c r="C184" s="41">
        <v>2346</v>
      </c>
      <c r="D184" s="41">
        <v>8611</v>
      </c>
      <c r="E184" s="211">
        <v>7344</v>
      </c>
      <c r="F184" s="397">
        <v>2828</v>
      </c>
      <c r="G184" s="495">
        <v>6613</v>
      </c>
      <c r="H184" s="401"/>
      <c r="I184" s="205"/>
      <c r="J184" s="205"/>
      <c r="K184" s="205"/>
      <c r="L184" s="286"/>
      <c r="M184" s="626"/>
      <c r="N184" s="205"/>
      <c r="O184" s="205"/>
      <c r="P184" s="205"/>
      <c r="Q184" s="41"/>
      <c r="R184" s="272">
        <v>6434</v>
      </c>
      <c r="S184" s="41"/>
      <c r="T184" s="41"/>
      <c r="U184" s="41"/>
      <c r="V184" s="41"/>
      <c r="W184" s="41"/>
      <c r="X184" s="235"/>
      <c r="Y184" s="41"/>
      <c r="AB184" s="41"/>
      <c r="AC184" s="38"/>
      <c r="AD184" s="41"/>
      <c r="AE184" s="616"/>
      <c r="AF184" s="41"/>
      <c r="AG184" s="41"/>
      <c r="AH184" s="41"/>
      <c r="AI184" s="41"/>
      <c r="AJ184" s="41"/>
      <c r="AK184" s="41"/>
      <c r="AL184" s="41"/>
      <c r="AM184" s="41"/>
      <c r="AN184" s="41"/>
      <c r="AO184" s="41"/>
      <c r="AP184" s="38"/>
      <c r="AQ184" s="38"/>
      <c r="AR184" s="38"/>
      <c r="AS184" s="41"/>
      <c r="AT184" s="41"/>
      <c r="AU184" s="41"/>
      <c r="AV184" s="235"/>
      <c r="AW184" s="41">
        <f t="shared" si="215"/>
        <v>2346</v>
      </c>
      <c r="AX184" s="41">
        <f t="shared" si="216"/>
        <v>8611</v>
      </c>
      <c r="AY184" s="41">
        <f t="shared" si="217"/>
        <v>7344</v>
      </c>
      <c r="AZ184" s="41">
        <f t="shared" si="218"/>
        <v>2828</v>
      </c>
      <c r="BA184" s="41">
        <f t="shared" si="236"/>
        <v>6613</v>
      </c>
      <c r="BB184" s="237">
        <f t="shared" si="219"/>
        <v>6434</v>
      </c>
      <c r="BC184" s="41">
        <f t="shared" si="220"/>
        <v>16550542.946743127</v>
      </c>
      <c r="BD184" s="41">
        <f t="shared" si="221"/>
        <v>60748817.269567385</v>
      </c>
      <c r="BE184" s="41">
        <f t="shared" si="222"/>
        <v>51810395.31154371</v>
      </c>
      <c r="BF184" s="41">
        <f t="shared" si="223"/>
        <v>19950952.87868268</v>
      </c>
      <c r="BG184" s="41">
        <f t="shared" si="224"/>
        <v>46653342.07451505</v>
      </c>
      <c r="BH184" s="237">
        <f t="shared" si="225"/>
        <v>45390534.23672007</v>
      </c>
      <c r="BI184" s="41">
        <v>7</v>
      </c>
      <c r="BJ184" s="41">
        <v>4</v>
      </c>
      <c r="BK184" s="41">
        <v>68</v>
      </c>
      <c r="BL184" s="398">
        <v>38</v>
      </c>
      <c r="BM184" s="398">
        <v>71</v>
      </c>
      <c r="BN184" s="235">
        <v>43</v>
      </c>
      <c r="BO184" s="41"/>
      <c r="BP184" s="41"/>
      <c r="BQ184" s="41"/>
      <c r="BR184" s="205"/>
      <c r="BT184" s="235"/>
      <c r="BU184" s="41"/>
      <c r="BV184" s="286"/>
      <c r="BW184" s="41"/>
      <c r="BX184" s="205"/>
      <c r="BY184" s="286"/>
      <c r="BZ184" s="235"/>
      <c r="CA184" s="41"/>
      <c r="CB184" s="41"/>
      <c r="CC184" s="400"/>
      <c r="CD184" s="205"/>
      <c r="CE184" s="205"/>
      <c r="CF184" s="205"/>
      <c r="CG184" s="205"/>
      <c r="CH184" s="205"/>
      <c r="CI184" s="39"/>
      <c r="CJ184" s="286"/>
      <c r="CK184" s="286"/>
      <c r="CL184" s="38"/>
      <c r="CM184" s="38"/>
      <c r="CN184" s="38"/>
      <c r="CO184" s="39"/>
      <c r="CP184" s="41"/>
      <c r="CQ184" s="41"/>
      <c r="CR184" s="237"/>
      <c r="CS184" s="41">
        <f t="shared" si="239"/>
        <v>7</v>
      </c>
      <c r="CT184" s="41">
        <f t="shared" si="243"/>
        <v>4</v>
      </c>
      <c r="CU184" s="41">
        <f t="shared" si="243"/>
        <v>68</v>
      </c>
      <c r="CV184" s="41">
        <f t="shared" si="243"/>
        <v>38</v>
      </c>
      <c r="CW184" s="41">
        <f t="shared" si="243"/>
        <v>71</v>
      </c>
      <c r="CX184" s="237">
        <f t="shared" si="243"/>
        <v>43</v>
      </c>
      <c r="CY184" s="41">
        <f t="shared" si="244"/>
        <v>49383.54672941258</v>
      </c>
      <c r="CZ184" s="41">
        <f t="shared" si="244"/>
        <v>28219.169559664333</v>
      </c>
      <c r="DA184" s="41">
        <f t="shared" si="245"/>
        <v>479725.8825142936</v>
      </c>
      <c r="DB184" s="41">
        <f t="shared" si="245"/>
        <v>268082.1108168111</v>
      </c>
      <c r="DC184" s="41">
        <f t="shared" si="245"/>
        <v>500890.2596840418</v>
      </c>
      <c r="DD184" s="237">
        <f t="shared" si="245"/>
        <v>303356.0727663915</v>
      </c>
      <c r="DE184" s="39">
        <f t="shared" si="228"/>
        <v>2339</v>
      </c>
      <c r="DF184" s="39">
        <f t="shared" si="229"/>
        <v>8607</v>
      </c>
      <c r="DG184" s="39">
        <f t="shared" si="230"/>
        <v>7276</v>
      </c>
      <c r="DH184" s="39">
        <f t="shared" si="231"/>
        <v>2790</v>
      </c>
      <c r="DI184" s="39">
        <f t="shared" si="232"/>
        <v>6542</v>
      </c>
      <c r="DJ184" s="243">
        <f t="shared" si="233"/>
        <v>6391</v>
      </c>
      <c r="DK184" s="39">
        <f t="shared" si="234"/>
        <v>16501159.400013715</v>
      </c>
      <c r="DL184" s="39">
        <f t="shared" si="237"/>
        <v>60720598.10000772</v>
      </c>
      <c r="DM184" s="39">
        <f t="shared" si="238"/>
        <v>51330669.42902942</v>
      </c>
      <c r="DN184" s="39">
        <f t="shared" si="238"/>
        <v>19682870.76786587</v>
      </c>
      <c r="DO184" s="39">
        <f t="shared" si="238"/>
        <v>46152451.81483101</v>
      </c>
      <c r="DP184" s="243">
        <f t="shared" si="238"/>
        <v>45087178.16395368</v>
      </c>
      <c r="DQ184" s="39">
        <f>DK184+Commerical!I182</f>
        <v>47441959.400013715</v>
      </c>
      <c r="DR184" s="39">
        <f>DL184+Commerical!J182</f>
        <v>106096598.10000771</v>
      </c>
      <c r="DS184" s="39">
        <f>DM184+Commerical!K182</f>
        <v>111548269.42902942</v>
      </c>
      <c r="DT184" s="39">
        <f>DN184+Commerical!L182</f>
        <v>69289270.76786587</v>
      </c>
      <c r="DU184" s="39">
        <f>DO184+Commerical!M182</f>
        <v>97253251.81483102</v>
      </c>
      <c r="DV184" s="243">
        <f>DP184+Commerical!N182</f>
        <v>50219978.16395368</v>
      </c>
      <c r="DW184" s="39"/>
      <c r="DX184" s="39"/>
      <c r="DY184" s="38"/>
      <c r="DZ184" s="217"/>
      <c r="EA184" s="546"/>
      <c r="EB184" s="38"/>
      <c r="EC184" s="38"/>
      <c r="ED184" s="38"/>
    </row>
    <row r="185" spans="1:134" ht="12.75">
      <c r="A185" s="88" t="s">
        <v>664</v>
      </c>
      <c r="B185" s="29">
        <f>'Ave weights'!Q141</f>
        <v>1.1792000000000002</v>
      </c>
      <c r="C185" s="41">
        <v>3218</v>
      </c>
      <c r="D185" s="41">
        <v>2945</v>
      </c>
      <c r="E185" s="41">
        <v>2913</v>
      </c>
      <c r="F185" s="397">
        <v>2382</v>
      </c>
      <c r="G185" s="495">
        <v>3318</v>
      </c>
      <c r="H185" s="401"/>
      <c r="I185" s="205"/>
      <c r="J185" s="205"/>
      <c r="K185" s="205"/>
      <c r="L185" s="400"/>
      <c r="M185" s="401"/>
      <c r="N185" s="205"/>
      <c r="O185" s="205"/>
      <c r="P185" s="205"/>
      <c r="Q185" s="41"/>
      <c r="R185" s="272">
        <v>3318</v>
      </c>
      <c r="S185" s="41"/>
      <c r="T185" s="41"/>
      <c r="U185" s="41"/>
      <c r="V185" s="41"/>
      <c r="W185" s="41"/>
      <c r="X185" s="235"/>
      <c r="Y185" s="41"/>
      <c r="AB185" s="41"/>
      <c r="AC185" s="38"/>
      <c r="AD185" s="41"/>
      <c r="AE185" s="616"/>
      <c r="AF185" s="41"/>
      <c r="AG185" s="41"/>
      <c r="AH185" s="41"/>
      <c r="AI185" s="41"/>
      <c r="AJ185" s="41"/>
      <c r="AK185" s="41"/>
      <c r="AL185" s="41"/>
      <c r="AM185" s="41"/>
      <c r="AN185" s="41"/>
      <c r="AO185" s="41"/>
      <c r="AP185" s="38"/>
      <c r="AQ185" s="38"/>
      <c r="AR185" s="38"/>
      <c r="AS185" s="41"/>
      <c r="AT185" s="41"/>
      <c r="AU185" s="41"/>
      <c r="AV185" s="235"/>
      <c r="AW185" s="41">
        <f t="shared" si="215"/>
        <v>3218</v>
      </c>
      <c r="AX185" s="41">
        <f t="shared" si="216"/>
        <v>2945</v>
      </c>
      <c r="AY185" s="41">
        <f t="shared" si="217"/>
        <v>2913</v>
      </c>
      <c r="AZ185" s="41">
        <f t="shared" si="218"/>
        <v>2382</v>
      </c>
      <c r="BA185" s="41">
        <f t="shared" si="236"/>
        <v>3318</v>
      </c>
      <c r="BB185" s="237">
        <f t="shared" si="219"/>
        <v>3318</v>
      </c>
      <c r="BC185" s="41">
        <f t="shared" si="220"/>
        <v>6016346.334047964</v>
      </c>
      <c r="BD185" s="41">
        <f t="shared" si="221"/>
        <v>5505947.779294983</v>
      </c>
      <c r="BE185" s="41">
        <f t="shared" si="222"/>
        <v>5446120.84247412</v>
      </c>
      <c r="BF185" s="41">
        <f t="shared" si="223"/>
        <v>4453367.609602937</v>
      </c>
      <c r="BG185" s="41">
        <f t="shared" si="224"/>
        <v>6203305.5116131585</v>
      </c>
      <c r="BH185" s="237">
        <f t="shared" si="225"/>
        <v>6203305.5116131585</v>
      </c>
      <c r="BI185" s="41">
        <v>841</v>
      </c>
      <c r="BJ185" s="41">
        <v>183</v>
      </c>
      <c r="BK185" s="41">
        <v>123</v>
      </c>
      <c r="BL185" s="398">
        <v>180</v>
      </c>
      <c r="BM185" s="398">
        <v>98</v>
      </c>
      <c r="BN185" s="235">
        <v>612</v>
      </c>
      <c r="BO185" s="41"/>
      <c r="BP185" s="41"/>
      <c r="BQ185" s="41"/>
      <c r="BR185" s="205"/>
      <c r="BT185" s="235"/>
      <c r="BU185" s="41"/>
      <c r="BV185" s="286"/>
      <c r="BW185" s="41"/>
      <c r="BX185" s="205"/>
      <c r="BY185" s="286"/>
      <c r="BZ185" s="235"/>
      <c r="CA185" s="41"/>
      <c r="CB185" s="41"/>
      <c r="CC185" s="400"/>
      <c r="CD185" s="205"/>
      <c r="CE185" s="205"/>
      <c r="CF185" s="205"/>
      <c r="CG185" s="205"/>
      <c r="CH185" s="205"/>
      <c r="CI185" s="39"/>
      <c r="CJ185" s="286"/>
      <c r="CK185" s="286"/>
      <c r="CL185" s="38"/>
      <c r="CM185" s="38"/>
      <c r="CN185" s="38"/>
      <c r="CO185" s="39"/>
      <c r="CP185" s="41"/>
      <c r="CQ185" s="41"/>
      <c r="CR185" s="237"/>
      <c r="CS185" s="41">
        <f t="shared" si="239"/>
        <v>841</v>
      </c>
      <c r="CT185" s="41">
        <f t="shared" si="243"/>
        <v>183</v>
      </c>
      <c r="CU185" s="41">
        <f t="shared" si="243"/>
        <v>123</v>
      </c>
      <c r="CV185" s="41">
        <f t="shared" si="243"/>
        <v>180</v>
      </c>
      <c r="CW185" s="41">
        <f t="shared" si="243"/>
        <v>98</v>
      </c>
      <c r="CX185" s="237">
        <f t="shared" si="243"/>
        <v>612</v>
      </c>
      <c r="CY185" s="41">
        <f t="shared" si="244"/>
        <v>1572326.683323287</v>
      </c>
      <c r="CZ185" s="41">
        <f t="shared" si="244"/>
        <v>342135.2949443062</v>
      </c>
      <c r="DA185" s="41">
        <f t="shared" si="245"/>
        <v>229959.7884051894</v>
      </c>
      <c r="DB185" s="41">
        <f t="shared" si="245"/>
        <v>336526.51961735036</v>
      </c>
      <c r="DC185" s="41">
        <f t="shared" si="245"/>
        <v>183219.99401389074</v>
      </c>
      <c r="DD185" s="237">
        <f t="shared" si="245"/>
        <v>1144190.166698991</v>
      </c>
      <c r="DE185" s="39">
        <f t="shared" si="228"/>
        <v>2377</v>
      </c>
      <c r="DF185" s="39">
        <f t="shared" si="229"/>
        <v>2762</v>
      </c>
      <c r="DG185" s="39">
        <f t="shared" si="230"/>
        <v>2790</v>
      </c>
      <c r="DH185" s="39">
        <f t="shared" si="231"/>
        <v>2202</v>
      </c>
      <c r="DI185" s="39">
        <f t="shared" si="232"/>
        <v>3220</v>
      </c>
      <c r="DJ185" s="243">
        <f t="shared" si="233"/>
        <v>2706</v>
      </c>
      <c r="DK185" s="39">
        <f t="shared" si="234"/>
        <v>4444019.650724677</v>
      </c>
      <c r="DL185" s="39">
        <f t="shared" si="237"/>
        <v>5163812.484350677</v>
      </c>
      <c r="DM185" s="39">
        <f t="shared" si="238"/>
        <v>5216161.05406893</v>
      </c>
      <c r="DN185" s="39">
        <f t="shared" si="238"/>
        <v>4116841.0899855862</v>
      </c>
      <c r="DO185" s="39">
        <f t="shared" si="238"/>
        <v>6020085.517599268</v>
      </c>
      <c r="DP185" s="243">
        <f t="shared" si="238"/>
        <v>5059115.344914167</v>
      </c>
      <c r="DQ185" s="39">
        <f>DK185+Commerical!I183</f>
        <v>4444019.650724677</v>
      </c>
      <c r="DR185" s="39">
        <f>DL185+Commerical!J183</f>
        <v>5163812.484350677</v>
      </c>
      <c r="DS185" s="39">
        <f>DM185+Commerical!K183</f>
        <v>5216161.05406893</v>
      </c>
      <c r="DT185" s="39">
        <f>DN185+Commerical!L183</f>
        <v>4116841.0899855862</v>
      </c>
      <c r="DU185" s="39">
        <f>DO185+Commerical!M183</f>
        <v>6020085.517599268</v>
      </c>
      <c r="DV185" s="243">
        <f>DP185+Commerical!N183</f>
        <v>5059115.344914167</v>
      </c>
      <c r="DW185" s="39"/>
      <c r="DX185" s="39"/>
      <c r="DY185" s="38"/>
      <c r="DZ185" s="38"/>
      <c r="EA185" s="546"/>
      <c r="EB185" s="38"/>
      <c r="EC185" s="38"/>
      <c r="ED185" s="38"/>
    </row>
    <row r="186" spans="1:134" ht="13.5">
      <c r="A186" s="88" t="s">
        <v>305</v>
      </c>
      <c r="B186" s="29">
        <f>Commerical!B184</f>
        <v>3.5</v>
      </c>
      <c r="C186" s="41"/>
      <c r="E186" s="41"/>
      <c r="F186" s="183"/>
      <c r="G186" s="410"/>
      <c r="H186" s="41"/>
      <c r="I186" s="205"/>
      <c r="J186" s="205"/>
      <c r="K186" s="205"/>
      <c r="L186" s="286"/>
      <c r="M186" s="626"/>
      <c r="N186" s="205"/>
      <c r="O186" s="205"/>
      <c r="P186" s="205"/>
      <c r="Q186" s="205"/>
      <c r="R186" s="271"/>
      <c r="S186" s="205"/>
      <c r="T186" s="205"/>
      <c r="U186" s="205"/>
      <c r="V186" s="205"/>
      <c r="W186" s="205"/>
      <c r="X186" s="216"/>
      <c r="Y186" s="205"/>
      <c r="AB186" s="205"/>
      <c r="AC186" s="38"/>
      <c r="AD186" s="39"/>
      <c r="AE186" s="629"/>
      <c r="AF186" s="205"/>
      <c r="AG186" s="205"/>
      <c r="AH186" s="205"/>
      <c r="AI186" s="205"/>
      <c r="AJ186" s="205"/>
      <c r="AK186" s="205"/>
      <c r="AL186" s="205"/>
      <c r="AM186" s="39"/>
      <c r="AN186" s="39"/>
      <c r="AO186" s="39"/>
      <c r="AP186" s="38"/>
      <c r="AQ186" s="38"/>
      <c r="AR186" s="38"/>
      <c r="AS186" s="205"/>
      <c r="AT186" s="205"/>
      <c r="AU186" s="205"/>
      <c r="AV186" s="235"/>
      <c r="AW186" s="41"/>
      <c r="AX186" s="41"/>
      <c r="AY186" s="41"/>
      <c r="AZ186" s="41"/>
      <c r="BA186" s="41"/>
      <c r="BB186" s="237"/>
      <c r="BC186" s="41"/>
      <c r="BD186" s="41"/>
      <c r="BE186" s="210"/>
      <c r="BF186" s="41"/>
      <c r="BG186" s="41"/>
      <c r="BH186" s="237"/>
      <c r="BI186" s="41"/>
      <c r="BJ186" s="41"/>
      <c r="BK186" s="41"/>
      <c r="BL186" s="41"/>
      <c r="BM186" s="41"/>
      <c r="BN186" s="216"/>
      <c r="BO186" s="205"/>
      <c r="BP186" s="205"/>
      <c r="BQ186" s="205"/>
      <c r="BR186" s="205"/>
      <c r="BS186" s="205"/>
      <c r="BT186" s="216"/>
      <c r="BU186" s="205"/>
      <c r="BV186" s="286"/>
      <c r="BW186" s="205"/>
      <c r="BX186" s="205"/>
      <c r="BY186" s="205"/>
      <c r="BZ186" s="498"/>
      <c r="CA186" s="39"/>
      <c r="CB186" s="39"/>
      <c r="CC186" s="205"/>
      <c r="CD186" s="205"/>
      <c r="CE186" s="205"/>
      <c r="CF186" s="205"/>
      <c r="CG186" s="205"/>
      <c r="CH186" s="205"/>
      <c r="CI186" s="39"/>
      <c r="CJ186" s="407"/>
      <c r="CK186" s="407"/>
      <c r="CL186" s="38"/>
      <c r="CM186" s="38"/>
      <c r="CN186" s="38"/>
      <c r="CO186" s="39"/>
      <c r="CP186" s="205"/>
      <c r="CQ186" s="205"/>
      <c r="CR186" s="282"/>
      <c r="CS186" s="41"/>
      <c r="CT186" s="41"/>
      <c r="CU186" s="41"/>
      <c r="CV186" s="41"/>
      <c r="CW186" s="41"/>
      <c r="CX186" s="237"/>
      <c r="CY186" s="41"/>
      <c r="CZ186" s="41"/>
      <c r="DA186" s="41"/>
      <c r="DB186" s="41"/>
      <c r="DC186" s="41"/>
      <c r="DD186" s="237"/>
      <c r="DE186" s="41"/>
      <c r="DF186" s="39"/>
      <c r="DG186" s="39"/>
      <c r="DH186" s="39"/>
      <c r="DI186" s="39"/>
      <c r="DJ186" s="243"/>
      <c r="DK186" s="39"/>
      <c r="DL186" s="39"/>
      <c r="DM186" s="39"/>
      <c r="DN186" s="39"/>
      <c r="DO186" s="39"/>
      <c r="DP186" s="243"/>
      <c r="DQ186" s="39">
        <f>DK186+Commerical!I184</f>
        <v>554857.1428571428</v>
      </c>
      <c r="DR186" s="39">
        <f>DL186+Commerical!J184</f>
        <v>383714.28571428574</v>
      </c>
      <c r="DS186" s="39">
        <f>DM186+Commerical!K184</f>
        <v>652000</v>
      </c>
      <c r="DT186" s="39">
        <f>DN186+Commerical!L184</f>
        <v>496000</v>
      </c>
      <c r="DU186" s="39">
        <f>DO186+Commerical!M184</f>
        <v>608857.1428571428</v>
      </c>
      <c r="DV186" s="243">
        <f>DP186+Commerical!N184</f>
        <v>434285.71428571426</v>
      </c>
      <c r="DW186" s="39"/>
      <c r="DX186" s="39"/>
      <c r="DY186" s="38"/>
      <c r="DZ186" s="38"/>
      <c r="EA186" s="546"/>
      <c r="EB186" s="38"/>
      <c r="EC186" s="38"/>
      <c r="ED186" s="38"/>
    </row>
    <row r="187" spans="1:134" ht="12.75">
      <c r="A187" s="88" t="s">
        <v>306</v>
      </c>
      <c r="B187" s="29">
        <f>Commerical!B185</f>
        <v>1.5</v>
      </c>
      <c r="C187" s="41">
        <v>36142</v>
      </c>
      <c r="D187" s="211">
        <v>33788</v>
      </c>
      <c r="E187" s="41">
        <v>30494</v>
      </c>
      <c r="F187" s="397">
        <v>30680</v>
      </c>
      <c r="G187" s="495">
        <v>28057</v>
      </c>
      <c r="H187" s="401"/>
      <c r="I187" s="205"/>
      <c r="J187" s="205"/>
      <c r="K187" s="205"/>
      <c r="L187" s="286"/>
      <c r="M187" s="626"/>
      <c r="N187" s="205"/>
      <c r="O187" s="205"/>
      <c r="P187" s="205"/>
      <c r="Q187" s="205"/>
      <c r="R187" s="271">
        <v>30491</v>
      </c>
      <c r="S187" s="205"/>
      <c r="T187" s="205"/>
      <c r="U187" s="205"/>
      <c r="V187" s="205"/>
      <c r="W187" s="205"/>
      <c r="X187" s="216"/>
      <c r="Y187" s="205"/>
      <c r="Z187" s="205"/>
      <c r="AA187" s="205"/>
      <c r="AB187" s="205"/>
      <c r="AC187" s="38"/>
      <c r="AD187" s="41"/>
      <c r="AE187" s="616"/>
      <c r="AF187" s="205"/>
      <c r="AG187" s="205"/>
      <c r="AH187" s="205"/>
      <c r="AI187" s="205"/>
      <c r="AJ187" s="205"/>
      <c r="AK187" s="205"/>
      <c r="AL187" s="205"/>
      <c r="AM187" s="41"/>
      <c r="AN187" s="41"/>
      <c r="AO187" s="41"/>
      <c r="AP187" s="38"/>
      <c r="AQ187" s="38"/>
      <c r="AR187" s="38"/>
      <c r="AS187" s="205"/>
      <c r="AT187" s="205"/>
      <c r="AU187" s="205"/>
      <c r="AV187" s="235"/>
      <c r="AW187" s="41">
        <f t="shared" si="215"/>
        <v>36142</v>
      </c>
      <c r="AX187" s="41">
        <f>D187+Z187</f>
        <v>33788</v>
      </c>
      <c r="AY187" s="41">
        <f>E187+AA187</f>
        <v>30494</v>
      </c>
      <c r="AZ187" s="41">
        <f>F187+AB187</f>
        <v>30680</v>
      </c>
      <c r="BA187" s="41">
        <f>G187+AC187</f>
        <v>28057</v>
      </c>
      <c r="BB187" s="237">
        <f>R187+AD187</f>
        <v>30491</v>
      </c>
      <c r="BC187" s="41">
        <f t="shared" si="220"/>
        <v>53119647.19923896</v>
      </c>
      <c r="BD187" s="41">
        <f>AX187*1000/0.45359237/$B187</f>
        <v>49659859.431350954</v>
      </c>
      <c r="BE187" s="41">
        <f>AY187*1000/0.45359237/$B187</f>
        <v>44818508.15377104</v>
      </c>
      <c r="BF187" s="41">
        <f>AZ187*1000/0.45359237/$B187</f>
        <v>45091881.35888029</v>
      </c>
      <c r="BG187" s="41">
        <f>BA187*1000/0.45359237/$B187</f>
        <v>41236731.26747406</v>
      </c>
      <c r="BH187" s="237">
        <f>BB187*1000/0.45359237/$B187</f>
        <v>44814098.908527344</v>
      </c>
      <c r="BI187" s="41">
        <v>39060</v>
      </c>
      <c r="BJ187" s="41">
        <v>31449</v>
      </c>
      <c r="BK187" s="41">
        <v>23103</v>
      </c>
      <c r="BL187" s="397">
        <v>25288</v>
      </c>
      <c r="BM187" s="397">
        <v>26280</v>
      </c>
      <c r="BN187" s="216">
        <v>39016</v>
      </c>
      <c r="BO187" s="205"/>
      <c r="BP187" s="205"/>
      <c r="BQ187" s="205"/>
      <c r="BR187" s="205"/>
      <c r="BS187" s="205"/>
      <c r="BT187" s="216"/>
      <c r="BU187" s="205"/>
      <c r="BV187" s="286"/>
      <c r="BW187" s="205"/>
      <c r="BX187" s="205"/>
      <c r="BY187" s="205"/>
      <c r="BZ187" s="235"/>
      <c r="CA187" s="41"/>
      <c r="CB187" s="41"/>
      <c r="CC187" s="205"/>
      <c r="CD187" s="205"/>
      <c r="CE187" s="205"/>
      <c r="CF187" s="205"/>
      <c r="CG187" s="205"/>
      <c r="CH187" s="205"/>
      <c r="CI187" s="39"/>
      <c r="CJ187" s="286"/>
      <c r="CK187" s="286"/>
      <c r="CL187" s="38"/>
      <c r="CM187" s="38"/>
      <c r="CN187" s="38"/>
      <c r="CO187" s="39"/>
      <c r="CP187" s="205"/>
      <c r="CQ187" s="205"/>
      <c r="CR187" s="282"/>
      <c r="CS187" s="41">
        <f t="shared" si="239"/>
        <v>39060</v>
      </c>
      <c r="CT187" s="41">
        <f>BJ187+BV187</f>
        <v>31449</v>
      </c>
      <c r="CU187" s="41">
        <f>BK187+BW187</f>
        <v>23103</v>
      </c>
      <c r="CV187" s="41">
        <f>BL187+BX187</f>
        <v>25288</v>
      </c>
      <c r="CW187" s="41">
        <f>BM187+BY187</f>
        <v>26280</v>
      </c>
      <c r="CX187" s="237">
        <f>BN187+BZ187</f>
        <v>39016</v>
      </c>
      <c r="CY187" s="41">
        <f aca="true" t="shared" si="246" ref="CY187:DD187">CS187*1000/0.45359237/$B187</f>
        <v>57408373.072942115</v>
      </c>
      <c r="CZ187" s="41">
        <f t="shared" si="246"/>
        <v>46222117.88968143</v>
      </c>
      <c r="DA187" s="41">
        <f t="shared" si="246"/>
        <v>33955597.621714845</v>
      </c>
      <c r="DB187" s="41">
        <f t="shared" si="246"/>
        <v>37166997.90754122</v>
      </c>
      <c r="DC187" s="41">
        <f t="shared" si="246"/>
        <v>38624988.33479055</v>
      </c>
      <c r="DD187" s="237">
        <f t="shared" si="246"/>
        <v>57343704.142701216</v>
      </c>
      <c r="DE187" s="39">
        <f aca="true" t="shared" si="247" ref="DE187:DJ187">AW187-CS187</f>
        <v>-2918</v>
      </c>
      <c r="DF187" s="39">
        <f t="shared" si="247"/>
        <v>2339</v>
      </c>
      <c r="DG187" s="39">
        <f t="shared" si="247"/>
        <v>7391</v>
      </c>
      <c r="DH187" s="39">
        <f t="shared" si="247"/>
        <v>5392</v>
      </c>
      <c r="DI187" s="39">
        <f t="shared" si="247"/>
        <v>1777</v>
      </c>
      <c r="DJ187" s="243">
        <f t="shared" si="247"/>
        <v>-8525</v>
      </c>
      <c r="DK187" s="39">
        <f t="shared" si="234"/>
        <v>-4288725.873703152</v>
      </c>
      <c r="DL187" s="39">
        <f>BD187-CZ187</f>
        <v>3437741.541669525</v>
      </c>
      <c r="DM187" s="39">
        <f>BE187-DA187</f>
        <v>10862910.532056198</v>
      </c>
      <c r="DN187" s="39">
        <f>BF187-DB187</f>
        <v>7924883.451339066</v>
      </c>
      <c r="DO187" s="39">
        <f>BG187-DC187</f>
        <v>2611742.9326835126</v>
      </c>
      <c r="DP187" s="243">
        <f>BH187-DD187</f>
        <v>-12529605.234173872</v>
      </c>
      <c r="DQ187" s="39">
        <f>DK187+Commerical!I185</f>
        <v>79923274.12629685</v>
      </c>
      <c r="DR187" s="39">
        <f>DL187+Commerical!J185</f>
        <v>80393074.87500286</v>
      </c>
      <c r="DS187" s="39">
        <f>DM187+Commerical!K185</f>
        <v>75456243.86538953</v>
      </c>
      <c r="DT187" s="39">
        <f>DN187+Commerical!L185</f>
        <v>62481550.11800573</v>
      </c>
      <c r="DU187" s="39">
        <f>DO187+Commerical!M185</f>
        <v>56813742.93268351</v>
      </c>
      <c r="DV187" s="243">
        <f>DP187+Commerical!N185</f>
        <v>49147061.43249279</v>
      </c>
      <c r="DW187" s="138"/>
      <c r="DX187" s="39"/>
      <c r="DY187" s="38"/>
      <c r="DZ187" s="38"/>
      <c r="EA187" s="546"/>
      <c r="EB187" s="38"/>
      <c r="EC187" s="38"/>
      <c r="ED187" s="38"/>
    </row>
    <row r="188" spans="1:134" ht="12.75">
      <c r="A188" s="88" t="s">
        <v>307</v>
      </c>
      <c r="B188" s="29">
        <f>Commerical!B186</f>
        <v>3</v>
      </c>
      <c r="C188" s="41"/>
      <c r="E188" s="41"/>
      <c r="F188" s="41"/>
      <c r="G188" s="235"/>
      <c r="H188" s="41"/>
      <c r="I188" s="205"/>
      <c r="J188" s="205"/>
      <c r="K188" s="205"/>
      <c r="L188" s="286"/>
      <c r="M188" s="626"/>
      <c r="N188" s="205"/>
      <c r="O188" s="205"/>
      <c r="P188" s="205"/>
      <c r="Q188" s="205"/>
      <c r="R188" s="271"/>
      <c r="S188" s="205"/>
      <c r="T188" s="205"/>
      <c r="U188" s="205"/>
      <c r="V188" s="205"/>
      <c r="W188" s="205"/>
      <c r="X188" s="216"/>
      <c r="Y188" s="205"/>
      <c r="Z188" s="205"/>
      <c r="AA188" s="205"/>
      <c r="AB188" s="205"/>
      <c r="AC188" s="38"/>
      <c r="AD188" s="239"/>
      <c r="AE188" s="645"/>
      <c r="AF188" s="205"/>
      <c r="AG188" s="205"/>
      <c r="AH188" s="205"/>
      <c r="AI188" s="205"/>
      <c r="AJ188" s="205"/>
      <c r="AK188" s="205"/>
      <c r="AL188" s="205"/>
      <c r="AM188" s="239"/>
      <c r="AN188" s="239"/>
      <c r="AO188" s="239"/>
      <c r="AP188" s="38"/>
      <c r="AQ188" s="38"/>
      <c r="AR188" s="38"/>
      <c r="AS188" s="205"/>
      <c r="AT188" s="205"/>
      <c r="AU188" s="205"/>
      <c r="AV188" s="235"/>
      <c r="AW188" s="41"/>
      <c r="AX188" s="41"/>
      <c r="AY188" s="41"/>
      <c r="AZ188" s="41"/>
      <c r="BA188" s="41"/>
      <c r="BB188" s="237"/>
      <c r="BC188" s="41"/>
      <c r="BD188" s="41"/>
      <c r="BE188" s="210"/>
      <c r="BF188" s="41"/>
      <c r="BG188" s="41"/>
      <c r="BH188" s="237"/>
      <c r="BI188" s="41"/>
      <c r="BJ188" s="41"/>
      <c r="BK188" s="41"/>
      <c r="BN188" s="216"/>
      <c r="BO188" s="205"/>
      <c r="BP188" s="205"/>
      <c r="BQ188" s="205"/>
      <c r="BR188" s="205"/>
      <c r="BS188" s="205"/>
      <c r="BT188" s="216"/>
      <c r="BU188" s="205"/>
      <c r="BV188" s="286"/>
      <c r="BW188" s="205"/>
      <c r="BX188" s="205"/>
      <c r="BY188" s="205"/>
      <c r="BZ188" s="516"/>
      <c r="CA188" s="239"/>
      <c r="CB188" s="239"/>
      <c r="CC188" s="205"/>
      <c r="CD188" s="205"/>
      <c r="CE188" s="205"/>
      <c r="CF188" s="205"/>
      <c r="CG188" s="205"/>
      <c r="CH188" s="205"/>
      <c r="CI188" s="39"/>
      <c r="CJ188" s="286"/>
      <c r="CK188" s="286"/>
      <c r="CL188" s="38"/>
      <c r="CM188" s="38"/>
      <c r="CN188" s="38"/>
      <c r="CO188" s="39"/>
      <c r="CP188" s="205"/>
      <c r="CQ188" s="205"/>
      <c r="CR188" s="282"/>
      <c r="CS188" s="41"/>
      <c r="CT188" s="41"/>
      <c r="CU188" s="41"/>
      <c r="CV188" s="41"/>
      <c r="CW188" s="41"/>
      <c r="CX188" s="237"/>
      <c r="CY188" s="41"/>
      <c r="CZ188" s="41"/>
      <c r="DA188" s="41"/>
      <c r="DB188" s="41"/>
      <c r="DC188" s="41"/>
      <c r="DD188" s="237"/>
      <c r="DE188" s="41"/>
      <c r="DF188" s="39"/>
      <c r="DG188" s="39"/>
      <c r="DH188" s="39"/>
      <c r="DI188" s="39"/>
      <c r="DJ188" s="243"/>
      <c r="DK188" s="39"/>
      <c r="DL188" s="39"/>
      <c r="DM188" s="39"/>
      <c r="DN188" s="39"/>
      <c r="DO188" s="39"/>
      <c r="DP188" s="243"/>
      <c r="DQ188" s="39">
        <f>DK188+Commerical!I186</f>
        <v>2118333.3333333335</v>
      </c>
      <c r="DR188" s="39">
        <f>DL188+Commerical!J186</f>
        <v>2123666.6666666665</v>
      </c>
      <c r="DS188" s="39">
        <f>DM188+Commerical!K186</f>
        <v>1576333.3333333333</v>
      </c>
      <c r="DT188" s="39">
        <f>DN188+Commerical!L186</f>
        <v>1398666.6666666667</v>
      </c>
      <c r="DU188" s="39">
        <f>DO188+Commerical!M186</f>
        <v>1475333.3333333333</v>
      </c>
      <c r="DV188" s="243">
        <f>DP188+Commerical!N186</f>
        <v>1868333.3333333333</v>
      </c>
      <c r="DW188" s="138"/>
      <c r="DX188" s="39"/>
      <c r="DY188" s="38"/>
      <c r="DZ188" s="38"/>
      <c r="EA188" s="546"/>
      <c r="EB188" s="38"/>
      <c r="EC188" s="217"/>
      <c r="ED188" s="38"/>
    </row>
    <row r="189" spans="1:134" ht="12.75">
      <c r="A189" s="88" t="s">
        <v>650</v>
      </c>
      <c r="B189" s="29">
        <f>'Ave weights'!Q145</f>
        <v>2.024</v>
      </c>
      <c r="C189" s="41">
        <v>9923</v>
      </c>
      <c r="D189" s="41">
        <v>11617</v>
      </c>
      <c r="E189" s="41">
        <v>9580</v>
      </c>
      <c r="F189" s="397">
        <v>12746</v>
      </c>
      <c r="G189" s="495">
        <v>12458</v>
      </c>
      <c r="H189" s="401"/>
      <c r="I189" s="205"/>
      <c r="J189" s="205"/>
      <c r="K189" s="205"/>
      <c r="L189" s="286"/>
      <c r="M189" s="626"/>
      <c r="N189" s="205"/>
      <c r="O189" s="205"/>
      <c r="P189" s="205"/>
      <c r="Q189" s="41"/>
      <c r="R189" s="272">
        <v>11959</v>
      </c>
      <c r="S189" s="41"/>
      <c r="T189" s="41"/>
      <c r="U189" s="41"/>
      <c r="V189" s="41"/>
      <c r="W189" s="41"/>
      <c r="X189" s="235"/>
      <c r="Y189" s="41"/>
      <c r="AB189" s="41"/>
      <c r="AC189" s="38"/>
      <c r="AD189" s="41"/>
      <c r="AE189" s="616"/>
      <c r="AF189" s="41"/>
      <c r="AG189" s="41"/>
      <c r="AH189" s="41"/>
      <c r="AI189" s="41"/>
      <c r="AJ189" s="41"/>
      <c r="AK189" s="41"/>
      <c r="AL189" s="41"/>
      <c r="AM189" s="41"/>
      <c r="AN189" s="41"/>
      <c r="AO189" s="41"/>
      <c r="AP189" s="38"/>
      <c r="AQ189" s="38"/>
      <c r="AR189" s="38"/>
      <c r="AS189" s="41"/>
      <c r="AT189" s="41"/>
      <c r="AU189" s="41"/>
      <c r="AV189" s="235"/>
      <c r="AW189" s="41">
        <f t="shared" si="215"/>
        <v>9923</v>
      </c>
      <c r="AX189" s="41">
        <f>D189+Z189</f>
        <v>11617</v>
      </c>
      <c r="AY189" s="41">
        <f>E189+AA189</f>
        <v>9580</v>
      </c>
      <c r="AZ189" s="41">
        <f>F189+AB189</f>
        <v>12746</v>
      </c>
      <c r="BA189" s="41">
        <f>G189+AC189</f>
        <v>12458</v>
      </c>
      <c r="BB189" s="237">
        <f>R189+AD189</f>
        <v>11959</v>
      </c>
      <c r="BC189" s="41">
        <f t="shared" si="220"/>
        <v>10808532.7453584</v>
      </c>
      <c r="BD189" s="41">
        <f>AX189*1000/0.45359237/$B189</f>
        <v>12653706.026688354</v>
      </c>
      <c r="BE189" s="41">
        <f>AY189*1000/0.45359237/$B189</f>
        <v>10434923.279303987</v>
      </c>
      <c r="BF189" s="41">
        <f>AZ189*1000/0.45359237/$B189</f>
        <v>13883458.46743305</v>
      </c>
      <c r="BG189" s="41">
        <f>BA189*1000/0.45359237/$B189</f>
        <v>13569757.224798441</v>
      </c>
      <c r="BH189" s="237">
        <f>BB189*1000/0.45359237/$B189</f>
        <v>13026226.25231695</v>
      </c>
      <c r="BI189" s="41">
        <v>1541</v>
      </c>
      <c r="BJ189" s="41">
        <v>1997</v>
      </c>
      <c r="BK189" s="41">
        <v>451</v>
      </c>
      <c r="BL189" s="398">
        <v>722</v>
      </c>
      <c r="BM189" s="398">
        <v>829</v>
      </c>
      <c r="BN189" s="235">
        <v>564</v>
      </c>
      <c r="BO189" s="41"/>
      <c r="BP189" s="41"/>
      <c r="BQ189" s="41"/>
      <c r="BR189" s="205"/>
      <c r="BS189" s="41"/>
      <c r="BT189" s="235"/>
      <c r="BU189" s="41"/>
      <c r="BV189" s="205"/>
      <c r="BW189" s="41"/>
      <c r="BX189" s="41"/>
      <c r="BY189" s="41"/>
      <c r="BZ189" s="235"/>
      <c r="CA189" s="41"/>
      <c r="CB189" s="41"/>
      <c r="CC189" s="41"/>
      <c r="CD189" s="205"/>
      <c r="CE189" s="205"/>
      <c r="CF189" s="205"/>
      <c r="CG189" s="205"/>
      <c r="CH189" s="205"/>
      <c r="CI189" s="39"/>
      <c r="CJ189" s="286"/>
      <c r="CK189" s="286"/>
      <c r="CL189" s="38"/>
      <c r="CM189" s="38"/>
      <c r="CN189" s="38"/>
      <c r="CO189" s="39"/>
      <c r="CP189" s="41"/>
      <c r="CQ189" s="41"/>
      <c r="CR189" s="237"/>
      <c r="CS189" s="41">
        <f t="shared" si="239"/>
        <v>1541</v>
      </c>
      <c r="CT189" s="41">
        <f>BJ189+BV189</f>
        <v>1997</v>
      </c>
      <c r="CU189" s="41">
        <f>BK189+BW189</f>
        <v>451</v>
      </c>
      <c r="CV189" s="41">
        <f>BL189+BX189</f>
        <v>722</v>
      </c>
      <c r="CW189" s="41">
        <f>BM189+BY189</f>
        <v>829</v>
      </c>
      <c r="CX189" s="237">
        <f>BN189+BZ189</f>
        <v>564</v>
      </c>
      <c r="CY189" s="41">
        <f aca="true" t="shared" si="248" ref="CY189:DD189">CS189*1000/0.45359237/$B189</f>
        <v>1678519.4961803178</v>
      </c>
      <c r="CZ189" s="41">
        <f t="shared" si="248"/>
        <v>2175213.1303517814</v>
      </c>
      <c r="DA189" s="41">
        <f t="shared" si="248"/>
        <v>491247.4320423903</v>
      </c>
      <c r="DB189" s="41">
        <f t="shared" si="248"/>
        <v>786431.5874381503</v>
      </c>
      <c r="DC189" s="41">
        <f t="shared" si="248"/>
        <v>902980.3130003137</v>
      </c>
      <c r="DD189" s="237">
        <f t="shared" si="248"/>
        <v>614331.6001594414</v>
      </c>
      <c r="DE189" s="39">
        <f aca="true" t="shared" si="249" ref="DE189:DJ189">AW189-CS189</f>
        <v>8382</v>
      </c>
      <c r="DF189" s="39">
        <f t="shared" si="249"/>
        <v>9620</v>
      </c>
      <c r="DG189" s="39">
        <f t="shared" si="249"/>
        <v>9129</v>
      </c>
      <c r="DH189" s="39">
        <f t="shared" si="249"/>
        <v>12024</v>
      </c>
      <c r="DI189" s="39">
        <f t="shared" si="249"/>
        <v>11629</v>
      </c>
      <c r="DJ189" s="243">
        <f t="shared" si="249"/>
        <v>11395</v>
      </c>
      <c r="DK189" s="39">
        <f t="shared" si="234"/>
        <v>9130013.249178082</v>
      </c>
      <c r="DL189" s="39">
        <f>BD189-CZ189</f>
        <v>10478492.896336572</v>
      </c>
      <c r="DM189" s="39">
        <f>BE189-DA189</f>
        <v>9943675.847261596</v>
      </c>
      <c r="DN189" s="39">
        <f>BF189-DB189</f>
        <v>13097026.879994899</v>
      </c>
      <c r="DO189" s="39">
        <f>BG189-DC189</f>
        <v>12666776.911798127</v>
      </c>
      <c r="DP189" s="243">
        <f>BH189-DD189</f>
        <v>12411894.652157508</v>
      </c>
      <c r="DQ189" s="39">
        <f>DK189+Commerical!I187</f>
        <v>9130013.249178082</v>
      </c>
      <c r="DR189" s="39">
        <f>DL189+Commerical!J187</f>
        <v>10478492.896336572</v>
      </c>
      <c r="DS189" s="39">
        <f>DM189+Commerical!K187</f>
        <v>9943675.847261596</v>
      </c>
      <c r="DT189" s="39">
        <f>DN189+Commerical!L187</f>
        <v>13097026.879994899</v>
      </c>
      <c r="DU189" s="39">
        <f>DO189+Commerical!M187</f>
        <v>12666776.911798127</v>
      </c>
      <c r="DV189" s="243">
        <f>DP189+Commerical!N187</f>
        <v>12411894.652157508</v>
      </c>
      <c r="DW189" s="138"/>
      <c r="DX189" s="39"/>
      <c r="DY189" s="38"/>
      <c r="DZ189" s="38"/>
      <c r="EA189" s="546"/>
      <c r="EB189" s="38"/>
      <c r="EC189" s="38"/>
      <c r="ED189" s="38"/>
    </row>
    <row r="190" spans="1:134" ht="12.75">
      <c r="A190" s="88" t="s">
        <v>651</v>
      </c>
      <c r="B190" s="29">
        <f>Commerical!B188</f>
        <v>0</v>
      </c>
      <c r="C190" s="41"/>
      <c r="E190" s="41"/>
      <c r="F190" s="41"/>
      <c r="G190" s="235"/>
      <c r="H190" s="41"/>
      <c r="I190" s="205"/>
      <c r="J190" s="205"/>
      <c r="K190" s="205"/>
      <c r="L190" s="286"/>
      <c r="M190" s="626"/>
      <c r="N190" s="205"/>
      <c r="O190" s="205"/>
      <c r="P190" s="205"/>
      <c r="Q190" s="41"/>
      <c r="R190" s="272"/>
      <c r="S190" s="41"/>
      <c r="T190" s="41"/>
      <c r="U190" s="41"/>
      <c r="V190" s="41"/>
      <c r="W190" s="41"/>
      <c r="X190" s="235"/>
      <c r="Y190" s="41"/>
      <c r="AB190" s="41"/>
      <c r="AC190" s="38"/>
      <c r="AD190" s="41"/>
      <c r="AE190" s="616"/>
      <c r="AF190" s="41"/>
      <c r="AG190" s="41"/>
      <c r="AH190" s="41"/>
      <c r="AI190" s="41"/>
      <c r="AJ190" s="41"/>
      <c r="AK190" s="41"/>
      <c r="AL190" s="41"/>
      <c r="AM190" s="41"/>
      <c r="AN190" s="41"/>
      <c r="AO190" s="41"/>
      <c r="AP190" s="38"/>
      <c r="AQ190" s="38"/>
      <c r="AR190" s="38"/>
      <c r="AS190" s="41"/>
      <c r="AT190" s="41"/>
      <c r="AU190" s="41"/>
      <c r="AV190" s="235"/>
      <c r="AW190" s="41"/>
      <c r="AX190" s="41"/>
      <c r="AY190" s="41"/>
      <c r="AZ190" s="41"/>
      <c r="BA190" s="41"/>
      <c r="BB190" s="237"/>
      <c r="BC190" s="41"/>
      <c r="BD190" s="41"/>
      <c r="BE190" s="210"/>
      <c r="BF190" s="41"/>
      <c r="BG190" s="41"/>
      <c r="BH190" s="237"/>
      <c r="BI190" s="41"/>
      <c r="BJ190" s="41"/>
      <c r="BK190" s="41"/>
      <c r="BN190" s="235"/>
      <c r="BO190" s="41"/>
      <c r="BP190" s="41"/>
      <c r="BQ190" s="41"/>
      <c r="BR190" s="205"/>
      <c r="BS190" s="41"/>
      <c r="BT190" s="235"/>
      <c r="BU190" s="41"/>
      <c r="BV190" s="205"/>
      <c r="BW190" s="41"/>
      <c r="BX190" s="41"/>
      <c r="BY190" s="41"/>
      <c r="BZ190" s="235"/>
      <c r="CA190" s="41"/>
      <c r="CB190" s="41"/>
      <c r="CC190" s="41"/>
      <c r="CD190" s="205"/>
      <c r="CE190" s="205"/>
      <c r="CF190" s="205"/>
      <c r="CG190" s="205"/>
      <c r="CH190" s="205"/>
      <c r="CI190" s="39"/>
      <c r="CJ190" s="286"/>
      <c r="CK190" s="286"/>
      <c r="CL190" s="38"/>
      <c r="CM190" s="38"/>
      <c r="CN190" s="38"/>
      <c r="CO190" s="39"/>
      <c r="CP190" s="41"/>
      <c r="CQ190" s="41"/>
      <c r="CR190" s="237"/>
      <c r="CS190" s="41"/>
      <c r="CT190" s="41"/>
      <c r="CU190" s="41"/>
      <c r="CV190" s="41"/>
      <c r="CW190" s="41"/>
      <c r="CX190" s="237"/>
      <c r="CY190" s="41"/>
      <c r="CZ190" s="41"/>
      <c r="DA190" s="41"/>
      <c r="DB190" s="41"/>
      <c r="DC190" s="41"/>
      <c r="DD190" s="237"/>
      <c r="DE190" s="41"/>
      <c r="DF190" s="39"/>
      <c r="DG190" s="39"/>
      <c r="DH190" s="39"/>
      <c r="DI190" s="39"/>
      <c r="DJ190" s="243"/>
      <c r="DK190" s="39"/>
      <c r="DL190" s="39"/>
      <c r="DM190" s="39"/>
      <c r="DN190" s="39"/>
      <c r="DO190" s="39"/>
      <c r="DP190" s="243"/>
      <c r="DQ190" s="39">
        <f>DK190+Commerical!I188</f>
        <v>0</v>
      </c>
      <c r="DR190" s="39">
        <f>DL190+Commerical!J188</f>
        <v>0</v>
      </c>
      <c r="DS190" s="39">
        <f>DM190+Commerical!K188</f>
        <v>0</v>
      </c>
      <c r="DT190" s="39">
        <f>DN190+Commerical!L188</f>
        <v>0</v>
      </c>
      <c r="DU190" s="39">
        <f>DO190+Commerical!M188</f>
        <v>0</v>
      </c>
      <c r="DV190" s="243">
        <f>DP190+Commerical!N188</f>
        <v>0</v>
      </c>
      <c r="DW190" s="138"/>
      <c r="DX190" s="39"/>
      <c r="DY190" s="38"/>
      <c r="DZ190" s="38"/>
      <c r="EA190" s="546"/>
      <c r="EB190" s="38"/>
      <c r="EC190" s="38"/>
      <c r="ED190" s="38"/>
    </row>
    <row r="191" spans="1:134" ht="12.75">
      <c r="A191" s="88" t="s">
        <v>662</v>
      </c>
      <c r="B191" s="29">
        <f>SUM(Commerical!C185:H186)*1000/SUM(Commerical!I185:N186)</f>
        <v>1.5389446597884076</v>
      </c>
      <c r="C191" s="41"/>
      <c r="E191" s="41"/>
      <c r="F191" s="41"/>
      <c r="G191" s="235"/>
      <c r="H191" s="41"/>
      <c r="I191" s="205"/>
      <c r="J191" s="205"/>
      <c r="K191" s="205"/>
      <c r="L191" s="286"/>
      <c r="M191" s="626"/>
      <c r="N191" s="205"/>
      <c r="O191" s="205"/>
      <c r="P191" s="205"/>
      <c r="Q191" s="205"/>
      <c r="R191" s="271"/>
      <c r="S191" s="205"/>
      <c r="T191" s="205"/>
      <c r="U191" s="205"/>
      <c r="V191" s="205"/>
      <c r="W191" s="205"/>
      <c r="X191" s="216"/>
      <c r="Y191" s="205"/>
      <c r="AE191" s="622"/>
      <c r="AF191" s="205"/>
      <c r="AG191" s="205"/>
      <c r="AH191" s="205"/>
      <c r="AI191" s="205"/>
      <c r="AJ191" s="205"/>
      <c r="AK191" s="205"/>
      <c r="AL191" s="205"/>
      <c r="AM191" s="41"/>
      <c r="AN191" s="41"/>
      <c r="AO191" s="41"/>
      <c r="AP191" s="38"/>
      <c r="AQ191" s="38"/>
      <c r="AR191" s="38"/>
      <c r="AS191" s="205"/>
      <c r="AT191" s="205"/>
      <c r="AU191" s="205"/>
      <c r="AV191" s="235"/>
      <c r="AW191" s="41"/>
      <c r="AX191" s="41"/>
      <c r="AY191" s="41"/>
      <c r="AZ191" s="41"/>
      <c r="BA191" s="41"/>
      <c r="BB191" s="237"/>
      <c r="BC191" s="41"/>
      <c r="BD191" s="41"/>
      <c r="BE191" s="41"/>
      <c r="BF191" s="41"/>
      <c r="BG191" s="41"/>
      <c r="BH191" s="237"/>
      <c r="BI191" s="41"/>
      <c r="BJ191" s="41"/>
      <c r="BK191" s="41"/>
      <c r="BL191" s="41"/>
      <c r="BM191" s="41"/>
      <c r="BN191" s="216"/>
      <c r="BO191" s="205"/>
      <c r="BP191" s="205"/>
      <c r="BQ191" s="205"/>
      <c r="BR191" s="205"/>
      <c r="BS191" s="205"/>
      <c r="BT191" s="216"/>
      <c r="BU191" s="205">
        <v>347</v>
      </c>
      <c r="BV191" s="205">
        <v>130</v>
      </c>
      <c r="BW191" s="205">
        <v>31</v>
      </c>
      <c r="BX191" s="400">
        <v>99</v>
      </c>
      <c r="BY191" s="400">
        <v>34</v>
      </c>
      <c r="BZ191" s="235">
        <v>41</v>
      </c>
      <c r="CA191" s="41"/>
      <c r="CB191" s="41"/>
      <c r="CC191" s="205"/>
      <c r="CD191" s="205"/>
      <c r="CE191" s="205"/>
      <c r="CF191" s="205"/>
      <c r="CG191" s="205"/>
      <c r="CH191" s="205"/>
      <c r="CI191" s="39"/>
      <c r="CJ191" s="286"/>
      <c r="CK191" s="286"/>
      <c r="CL191" s="38"/>
      <c r="CM191" s="38"/>
      <c r="CN191" s="38"/>
      <c r="CO191" s="39"/>
      <c r="CP191" s="205"/>
      <c r="CQ191" s="205"/>
      <c r="CR191" s="282"/>
      <c r="CS191" s="41">
        <f t="shared" si="239"/>
        <v>347</v>
      </c>
      <c r="CT191" s="41">
        <f aca="true" t="shared" si="250" ref="CT191:CX195">BJ191+BV191</f>
        <v>130</v>
      </c>
      <c r="CU191" s="41">
        <f t="shared" si="250"/>
        <v>31</v>
      </c>
      <c r="CV191" s="41">
        <f t="shared" si="250"/>
        <v>99</v>
      </c>
      <c r="CW191" s="41">
        <f t="shared" si="250"/>
        <v>34</v>
      </c>
      <c r="CX191" s="237">
        <f t="shared" si="250"/>
        <v>41</v>
      </c>
      <c r="CY191" s="41">
        <f aca="true" t="shared" si="251" ref="CY191:CZ195">CS191*1000/0.45359237/$B191</f>
        <v>497096.52970023436</v>
      </c>
      <c r="CZ191" s="41">
        <f t="shared" si="251"/>
        <v>186232.12928250854</v>
      </c>
      <c r="DA191" s="41">
        <f aca="true" t="shared" si="252" ref="DA191:DD195">CU191*1000/0.45359237/$B191</f>
        <v>44409.20005967511</v>
      </c>
      <c r="DB191" s="41">
        <f t="shared" si="252"/>
        <v>141822.92922283342</v>
      </c>
      <c r="DC191" s="41">
        <f t="shared" si="252"/>
        <v>48706.86458157915</v>
      </c>
      <c r="DD191" s="237">
        <f t="shared" si="252"/>
        <v>58734.74846602193</v>
      </c>
      <c r="DE191" s="39">
        <f aca="true" t="shared" si="253" ref="DE191:DJ195">AW191-CS191</f>
        <v>-347</v>
      </c>
      <c r="DF191" s="39">
        <f t="shared" si="253"/>
        <v>-130</v>
      </c>
      <c r="DG191" s="39">
        <f t="shared" si="253"/>
        <v>-31</v>
      </c>
      <c r="DH191" s="39">
        <f t="shared" si="253"/>
        <v>-99</v>
      </c>
      <c r="DI191" s="39">
        <f t="shared" si="253"/>
        <v>-34</v>
      </c>
      <c r="DJ191" s="243">
        <f t="shared" si="253"/>
        <v>-41</v>
      </c>
      <c r="DK191" s="39">
        <f t="shared" si="234"/>
        <v>-497096.52970023436</v>
      </c>
      <c r="DL191" s="39">
        <f aca="true" t="shared" si="254" ref="DL191:DP195">BD191-CZ191</f>
        <v>-186232.12928250854</v>
      </c>
      <c r="DM191" s="39">
        <f t="shared" si="254"/>
        <v>-44409.20005967511</v>
      </c>
      <c r="DN191" s="39">
        <f t="shared" si="254"/>
        <v>-141822.92922283342</v>
      </c>
      <c r="DO191" s="39">
        <f t="shared" si="254"/>
        <v>-48706.86458157915</v>
      </c>
      <c r="DP191" s="243">
        <f t="shared" si="254"/>
        <v>-58734.74846602193</v>
      </c>
      <c r="DQ191" s="39">
        <f>DK191+Commerical!I189</f>
        <v>-497096.52970023436</v>
      </c>
      <c r="DR191" s="39">
        <f>DL191+Commerical!J189</f>
        <v>-186232.12928250854</v>
      </c>
      <c r="DS191" s="39">
        <f>DM191+Commerical!K189</f>
        <v>-44409.20005967511</v>
      </c>
      <c r="DT191" s="39">
        <f>DN191+Commerical!L189</f>
        <v>-141822.92922283342</v>
      </c>
      <c r="DU191" s="39">
        <f>DO191+Commerical!M189</f>
        <v>-48706.86458157915</v>
      </c>
      <c r="DV191" s="243">
        <f>DP191+Commerical!N189</f>
        <v>-58734.74846602193</v>
      </c>
      <c r="DW191" s="138"/>
      <c r="DX191" s="39"/>
      <c r="DY191" s="38"/>
      <c r="DZ191" s="38"/>
      <c r="EA191" s="546"/>
      <c r="EB191" s="38"/>
      <c r="EC191" s="38"/>
      <c r="ED191" s="38"/>
    </row>
    <row r="192" spans="1:134" ht="13.5">
      <c r="A192" s="88" t="s">
        <v>663</v>
      </c>
      <c r="B192" s="29">
        <f>'Ave weights'!Q146</f>
        <v>0.4621166666666666</v>
      </c>
      <c r="C192" s="41">
        <v>7102</v>
      </c>
      <c r="D192" s="41">
        <v>6965</v>
      </c>
      <c r="E192" s="41">
        <v>4915</v>
      </c>
      <c r="F192" s="397">
        <v>5430</v>
      </c>
      <c r="G192" s="495">
        <v>4745</v>
      </c>
      <c r="H192" s="401"/>
      <c r="I192" s="205"/>
      <c r="J192" s="205"/>
      <c r="K192" s="205"/>
      <c r="L192" s="286"/>
      <c r="M192" s="626"/>
      <c r="N192" s="205"/>
      <c r="O192" s="205"/>
      <c r="P192" s="205"/>
      <c r="Q192" s="41"/>
      <c r="R192" s="272">
        <v>5921</v>
      </c>
      <c r="S192" s="41"/>
      <c r="T192" s="41"/>
      <c r="U192" s="41"/>
      <c r="V192" s="41"/>
      <c r="W192" s="41"/>
      <c r="X192" s="235"/>
      <c r="Y192" s="41">
        <v>20</v>
      </c>
      <c r="Z192" s="41">
        <v>32</v>
      </c>
      <c r="AA192" s="41">
        <v>46</v>
      </c>
      <c r="AB192" s="398">
        <v>89</v>
      </c>
      <c r="AC192" s="398">
        <v>162</v>
      </c>
      <c r="AD192" s="41">
        <v>91</v>
      </c>
      <c r="AE192" s="616"/>
      <c r="AF192" s="41"/>
      <c r="AG192" s="41"/>
      <c r="AH192" s="41"/>
      <c r="AI192" s="41"/>
      <c r="AJ192" s="41"/>
      <c r="AK192" s="41"/>
      <c r="AL192" s="41"/>
      <c r="AM192" s="41"/>
      <c r="AN192" s="41"/>
      <c r="AO192" s="41"/>
      <c r="AP192" s="38"/>
      <c r="AQ192" s="38"/>
      <c r="AR192" s="38"/>
      <c r="AS192" s="41"/>
      <c r="AT192" s="41"/>
      <c r="AU192" s="41"/>
      <c r="AV192" s="235"/>
      <c r="AW192" s="41">
        <f aca="true" t="shared" si="255" ref="AW192:BA195">C192+Y192</f>
        <v>7122</v>
      </c>
      <c r="AX192" s="41">
        <f t="shared" si="255"/>
        <v>6997</v>
      </c>
      <c r="AY192" s="41">
        <f t="shared" si="255"/>
        <v>4961</v>
      </c>
      <c r="AZ192" s="41">
        <f t="shared" si="255"/>
        <v>5519</v>
      </c>
      <c r="BA192" s="41">
        <f t="shared" si="255"/>
        <v>4907</v>
      </c>
      <c r="BB192" s="237">
        <f>R192+AD192</f>
        <v>6012</v>
      </c>
      <c r="BC192" s="41">
        <f t="shared" si="220"/>
        <v>33976966.08967501</v>
      </c>
      <c r="BD192" s="41">
        <f>AX192*1000/0.45359237/$B192</f>
        <v>33380627.875520363</v>
      </c>
      <c r="BE192" s="41">
        <f aca="true" t="shared" si="256" ref="BE192:BH195">AY192*1000/0.45359237/$B192</f>
        <v>23667471.043369517</v>
      </c>
      <c r="BF192" s="41">
        <f t="shared" si="256"/>
        <v>26329524.831355847</v>
      </c>
      <c r="BG192" s="41">
        <f t="shared" si="256"/>
        <v>23409852.934854712</v>
      </c>
      <c r="BH192" s="237">
        <f t="shared" si="256"/>
        <v>28681482.747981764</v>
      </c>
      <c r="BI192" s="41">
        <v>498</v>
      </c>
      <c r="BJ192" s="41">
        <v>1600</v>
      </c>
      <c r="BK192" s="41">
        <v>1166</v>
      </c>
      <c r="BL192" s="398">
        <v>384</v>
      </c>
      <c r="BM192" s="398">
        <v>600</v>
      </c>
      <c r="BN192" s="235">
        <v>1048</v>
      </c>
      <c r="BO192" s="41"/>
      <c r="BP192" s="41"/>
      <c r="BQ192" s="41"/>
      <c r="BR192" s="205"/>
      <c r="BS192" s="41"/>
      <c r="BT192" s="235"/>
      <c r="BU192" s="41"/>
      <c r="BV192" s="286"/>
      <c r="BW192" s="41"/>
      <c r="BX192" s="41"/>
      <c r="BY192" s="41"/>
      <c r="BZ192" s="235"/>
      <c r="CA192" s="41"/>
      <c r="CB192" s="41"/>
      <c r="CC192" s="41"/>
      <c r="CD192" s="205"/>
      <c r="CE192" s="205"/>
      <c r="CF192" s="205"/>
      <c r="CG192" s="205"/>
      <c r="CH192" s="205"/>
      <c r="CI192" s="39"/>
      <c r="CJ192" s="407"/>
      <c r="CK192" s="407"/>
      <c r="CL192" s="38"/>
      <c r="CM192" s="38"/>
      <c r="CN192" s="38"/>
      <c r="CO192" s="39"/>
      <c r="CP192" s="41"/>
      <c r="CQ192" s="41"/>
      <c r="CR192" s="237"/>
      <c r="CS192" s="41">
        <f t="shared" si="239"/>
        <v>498</v>
      </c>
      <c r="CT192" s="41">
        <f t="shared" si="250"/>
        <v>1600</v>
      </c>
      <c r="CU192" s="41">
        <f t="shared" si="250"/>
        <v>1166</v>
      </c>
      <c r="CV192" s="41">
        <f t="shared" si="250"/>
        <v>384</v>
      </c>
      <c r="CW192" s="41">
        <f t="shared" si="250"/>
        <v>600</v>
      </c>
      <c r="CX192" s="237">
        <f t="shared" si="250"/>
        <v>1048</v>
      </c>
      <c r="CY192" s="41">
        <f t="shared" si="251"/>
        <v>2375811.4451921023</v>
      </c>
      <c r="CZ192" s="41">
        <f t="shared" si="251"/>
        <v>7633129.141179445</v>
      </c>
      <c r="DA192" s="41">
        <f t="shared" si="252"/>
        <v>5562642.861634521</v>
      </c>
      <c r="DB192" s="41">
        <f t="shared" si="252"/>
        <v>1831950.993883067</v>
      </c>
      <c r="DC192" s="41">
        <f t="shared" si="252"/>
        <v>2862423.4279422923</v>
      </c>
      <c r="DD192" s="237">
        <f t="shared" si="252"/>
        <v>4999699.5874725375</v>
      </c>
      <c r="DE192" s="39">
        <f t="shared" si="253"/>
        <v>6624</v>
      </c>
      <c r="DF192" s="39">
        <f t="shared" si="253"/>
        <v>5397</v>
      </c>
      <c r="DG192" s="39">
        <f t="shared" si="253"/>
        <v>3795</v>
      </c>
      <c r="DH192" s="39">
        <f t="shared" si="253"/>
        <v>5135</v>
      </c>
      <c r="DI192" s="39">
        <f t="shared" si="253"/>
        <v>4307</v>
      </c>
      <c r="DJ192" s="243">
        <f t="shared" si="253"/>
        <v>4964</v>
      </c>
      <c r="DK192" s="39">
        <f t="shared" si="234"/>
        <v>31601154.644482907</v>
      </c>
      <c r="DL192" s="39">
        <f t="shared" si="254"/>
        <v>25747498.734340917</v>
      </c>
      <c r="DM192" s="39">
        <f t="shared" si="254"/>
        <v>18104828.181734994</v>
      </c>
      <c r="DN192" s="39">
        <f t="shared" si="254"/>
        <v>24497573.83747278</v>
      </c>
      <c r="DO192" s="39">
        <f t="shared" si="254"/>
        <v>20547429.50691242</v>
      </c>
      <c r="DP192" s="243">
        <f t="shared" si="254"/>
        <v>23681783.16050923</v>
      </c>
      <c r="DQ192" s="39">
        <f>DK192+Commerical!I190</f>
        <v>31601154.644482907</v>
      </c>
      <c r="DR192" s="39">
        <f>DL192+Commerical!J190</f>
        <v>25747498.734340917</v>
      </c>
      <c r="DS192" s="39">
        <f>DM192+Commerical!K190</f>
        <v>18104828.181734994</v>
      </c>
      <c r="DT192" s="39">
        <f>DN192+Commerical!L190</f>
        <v>24497573.83747278</v>
      </c>
      <c r="DU192" s="39">
        <f>DO192+Commerical!M190</f>
        <v>20547429.50691242</v>
      </c>
      <c r="DV192" s="243">
        <f>DP192+Commerical!N190</f>
        <v>23681783.16050923</v>
      </c>
      <c r="DW192" s="138"/>
      <c r="DX192" s="39"/>
      <c r="DY192" s="38"/>
      <c r="DZ192" s="38"/>
      <c r="EA192" s="547"/>
      <c r="EB192" s="39"/>
      <c r="EC192" s="38"/>
      <c r="ED192" s="38"/>
    </row>
    <row r="193" spans="1:134" ht="12.75">
      <c r="A193" s="88" t="s">
        <v>308</v>
      </c>
      <c r="B193" s="29">
        <f>Commerical!B191</f>
        <v>0.02</v>
      </c>
      <c r="C193" s="41">
        <v>28945</v>
      </c>
      <c r="D193" s="41">
        <v>25828</v>
      </c>
      <c r="E193" s="41">
        <v>25883</v>
      </c>
      <c r="F193" s="397">
        <v>24612</v>
      </c>
      <c r="G193" s="495">
        <v>24088</v>
      </c>
      <c r="H193" s="401"/>
      <c r="I193" s="205"/>
      <c r="J193" s="205"/>
      <c r="K193" s="205"/>
      <c r="L193" s="286"/>
      <c r="M193" s="626"/>
      <c r="N193" s="205"/>
      <c r="O193" s="205"/>
      <c r="P193" s="205"/>
      <c r="Q193" s="41"/>
      <c r="R193" s="272">
        <v>23035</v>
      </c>
      <c r="S193" s="41"/>
      <c r="T193" s="41"/>
      <c r="U193" s="41"/>
      <c r="V193" s="41"/>
      <c r="W193" s="41"/>
      <c r="X193" s="235"/>
      <c r="Y193" s="41"/>
      <c r="Z193" s="41"/>
      <c r="AA193" s="41"/>
      <c r="AB193" s="41"/>
      <c r="AC193" s="38"/>
      <c r="AD193" s="41"/>
      <c r="AE193" s="616"/>
      <c r="AF193" s="41"/>
      <c r="AG193" s="41"/>
      <c r="AH193" s="41"/>
      <c r="AI193" s="41"/>
      <c r="AJ193" s="41"/>
      <c r="AK193" s="41"/>
      <c r="AL193" s="41"/>
      <c r="AM193" s="41"/>
      <c r="AN193" s="41"/>
      <c r="AO193" s="41"/>
      <c r="AP193" s="38"/>
      <c r="AQ193" s="38"/>
      <c r="AR193" s="38"/>
      <c r="AS193" s="41"/>
      <c r="AT193" s="41"/>
      <c r="AU193" s="41"/>
      <c r="AV193" s="235"/>
      <c r="AW193" s="41">
        <f t="shared" si="255"/>
        <v>28945</v>
      </c>
      <c r="AX193" s="41">
        <f t="shared" si="255"/>
        <v>25828</v>
      </c>
      <c r="AY193" s="41">
        <f t="shared" si="255"/>
        <v>25883</v>
      </c>
      <c r="AZ193" s="41">
        <f t="shared" si="255"/>
        <v>24612</v>
      </c>
      <c r="BA193" s="41">
        <f t="shared" si="255"/>
        <v>24088</v>
      </c>
      <c r="BB193" s="237">
        <f>R193+AD193</f>
        <v>23035</v>
      </c>
      <c r="BC193" s="41">
        <f t="shared" si="220"/>
        <v>3190640089.4706407</v>
      </c>
      <c r="BD193" s="41">
        <f>AX193*1000/0.45359237/$B193</f>
        <v>2847049653.855509</v>
      </c>
      <c r="BE193" s="41">
        <f t="shared" si="256"/>
        <v>2853112366.0655932</v>
      </c>
      <c r="BF193" s="41">
        <f t="shared" si="256"/>
        <v>2713008598.4471035</v>
      </c>
      <c r="BG193" s="41">
        <f t="shared" si="256"/>
        <v>2655247485.7546654</v>
      </c>
      <c r="BH193" s="237">
        <f t="shared" si="256"/>
        <v>2539174104.7143273</v>
      </c>
      <c r="BI193" s="41">
        <v>517</v>
      </c>
      <c r="BJ193" s="41">
        <v>483</v>
      </c>
      <c r="BK193" s="41">
        <v>677</v>
      </c>
      <c r="BL193" s="398">
        <v>840</v>
      </c>
      <c r="BM193" s="398">
        <v>856</v>
      </c>
      <c r="BN193" s="235">
        <v>1144</v>
      </c>
      <c r="BO193" s="41"/>
      <c r="BP193" s="41"/>
      <c r="BQ193" s="41"/>
      <c r="BR193" s="205"/>
      <c r="BT193" s="235"/>
      <c r="BU193" s="41"/>
      <c r="BV193" s="286"/>
      <c r="BW193" s="41"/>
      <c r="BX193" s="41"/>
      <c r="BY193" s="41"/>
      <c r="BZ193" s="235"/>
      <c r="CA193" s="41"/>
      <c r="CB193" s="41"/>
      <c r="CC193" s="41"/>
      <c r="CD193" s="205"/>
      <c r="CE193" s="205"/>
      <c r="CF193" s="205"/>
      <c r="CG193" s="205"/>
      <c r="CH193" s="205"/>
      <c r="CI193" s="39"/>
      <c r="CJ193" s="286"/>
      <c r="CK193" s="286"/>
      <c r="CL193" s="38"/>
      <c r="CM193" s="38"/>
      <c r="CN193" s="38"/>
      <c r="CO193" s="39"/>
      <c r="CP193" s="41"/>
      <c r="CQ193" s="41"/>
      <c r="CR193" s="237"/>
      <c r="CS193" s="41">
        <f t="shared" si="239"/>
        <v>517</v>
      </c>
      <c r="CT193" s="41">
        <f t="shared" si="250"/>
        <v>483</v>
      </c>
      <c r="CU193" s="41">
        <f t="shared" si="250"/>
        <v>677</v>
      </c>
      <c r="CV193" s="41">
        <f t="shared" si="250"/>
        <v>840</v>
      </c>
      <c r="CW193" s="41">
        <f t="shared" si="250"/>
        <v>856</v>
      </c>
      <c r="CX193" s="237">
        <f t="shared" si="250"/>
        <v>1144</v>
      </c>
      <c r="CY193" s="41">
        <f t="shared" si="251"/>
        <v>56989494.77479085</v>
      </c>
      <c r="CZ193" s="41">
        <f t="shared" si="251"/>
        <v>53241636.317647934</v>
      </c>
      <c r="DA193" s="41">
        <f t="shared" si="252"/>
        <v>74626475.74958105</v>
      </c>
      <c r="DB193" s="41">
        <f t="shared" si="252"/>
        <v>92594150.11764857</v>
      </c>
      <c r="DC193" s="41">
        <f t="shared" si="252"/>
        <v>94357848.21512759</v>
      </c>
      <c r="DD193" s="237">
        <f t="shared" si="252"/>
        <v>126104413.96974997</v>
      </c>
      <c r="DE193" s="39">
        <f t="shared" si="253"/>
        <v>28428</v>
      </c>
      <c r="DF193" s="39">
        <f t="shared" si="253"/>
        <v>25345</v>
      </c>
      <c r="DG193" s="39">
        <f t="shared" si="253"/>
        <v>25206</v>
      </c>
      <c r="DH193" s="39">
        <f t="shared" si="253"/>
        <v>23772</v>
      </c>
      <c r="DI193" s="39">
        <f t="shared" si="253"/>
        <v>23232</v>
      </c>
      <c r="DJ193" s="243">
        <f t="shared" si="253"/>
        <v>21891</v>
      </c>
      <c r="DK193" s="39">
        <f t="shared" si="234"/>
        <v>3133650594.69585</v>
      </c>
      <c r="DL193" s="39">
        <f t="shared" si="254"/>
        <v>2793808017.537861</v>
      </c>
      <c r="DM193" s="39">
        <f t="shared" si="254"/>
        <v>2778485890.3160124</v>
      </c>
      <c r="DN193" s="39">
        <f t="shared" si="254"/>
        <v>2620414448.329455</v>
      </c>
      <c r="DO193" s="39">
        <f t="shared" si="254"/>
        <v>2560889637.539538</v>
      </c>
      <c r="DP193" s="243">
        <f t="shared" si="254"/>
        <v>2413069690.7445774</v>
      </c>
      <c r="DQ193" s="39">
        <f>DK193+Commerical!I191</f>
        <v>3341800594.69585</v>
      </c>
      <c r="DR193" s="39">
        <f>DL193+Commerical!J191</f>
        <v>3105608017.537861</v>
      </c>
      <c r="DS193" s="39">
        <f>DM193+Commerical!K191</f>
        <v>3047835890.3160124</v>
      </c>
      <c r="DT193" s="39">
        <f>DN193+Commerical!L191</f>
        <v>2809114448.329455</v>
      </c>
      <c r="DU193" s="39">
        <f>DO193+Commerical!M191</f>
        <v>2732989637.539538</v>
      </c>
      <c r="DV193" s="243">
        <f>DP193+Commerical!N191</f>
        <v>2586069690.7445774</v>
      </c>
      <c r="DW193" s="213"/>
      <c r="DX193" s="39"/>
      <c r="DY193" s="38"/>
      <c r="DZ193" s="217"/>
      <c r="EA193" s="546"/>
      <c r="EB193" s="38"/>
      <c r="EC193" s="38"/>
      <c r="ED193" s="38"/>
    </row>
    <row r="194" spans="1:134" ht="12.75">
      <c r="A194" s="88" t="s">
        <v>665</v>
      </c>
      <c r="B194" s="29">
        <f>Commerical!B192</f>
        <v>25.960000000000004</v>
      </c>
      <c r="C194" s="41">
        <v>15256</v>
      </c>
      <c r="D194" s="41">
        <v>12105</v>
      </c>
      <c r="E194" s="41">
        <v>14151</v>
      </c>
      <c r="F194" s="397">
        <v>14275</v>
      </c>
      <c r="G194" s="495">
        <v>15627</v>
      </c>
      <c r="H194" s="401"/>
      <c r="I194" s="205"/>
      <c r="J194" s="205"/>
      <c r="K194" s="205"/>
      <c r="L194" s="286"/>
      <c r="M194" s="626"/>
      <c r="N194" s="205"/>
      <c r="O194" s="205"/>
      <c r="P194" s="205"/>
      <c r="Q194" s="41"/>
      <c r="R194" s="272">
        <v>17443</v>
      </c>
      <c r="S194" s="41"/>
      <c r="T194" s="41"/>
      <c r="U194" s="41"/>
      <c r="V194" s="41"/>
      <c r="W194" s="41"/>
      <c r="X194" s="235"/>
      <c r="Y194" s="41"/>
      <c r="Z194" s="41"/>
      <c r="AA194" s="41"/>
      <c r="AB194" s="41"/>
      <c r="AC194" s="38"/>
      <c r="AD194" s="41"/>
      <c r="AE194" s="616"/>
      <c r="AF194" s="41"/>
      <c r="AG194" s="41"/>
      <c r="AH194" s="41"/>
      <c r="AI194" s="41"/>
      <c r="AJ194" s="41"/>
      <c r="AK194" s="41"/>
      <c r="AL194" s="41"/>
      <c r="AM194" s="41"/>
      <c r="AN194" s="41"/>
      <c r="AO194" s="41"/>
      <c r="AP194" s="38"/>
      <c r="AQ194" s="38"/>
      <c r="AR194" s="38"/>
      <c r="AS194" s="41"/>
      <c r="AT194" s="41"/>
      <c r="AU194" s="41"/>
      <c r="AV194" s="235"/>
      <c r="AW194" s="41">
        <f t="shared" si="255"/>
        <v>15256</v>
      </c>
      <c r="AX194" s="41">
        <f t="shared" si="255"/>
        <v>12105</v>
      </c>
      <c r="AY194" s="41">
        <f t="shared" si="255"/>
        <v>14151</v>
      </c>
      <c r="AZ194" s="41">
        <f t="shared" si="255"/>
        <v>14275</v>
      </c>
      <c r="BA194" s="41">
        <f t="shared" si="255"/>
        <v>15627</v>
      </c>
      <c r="BB194" s="237">
        <f>R194+AD194</f>
        <v>17443</v>
      </c>
      <c r="BC194" s="41">
        <f t="shared" si="220"/>
        <v>1295597.9475702974</v>
      </c>
      <c r="BD194" s="41">
        <f>AX194*1000/0.45359237/$B194</f>
        <v>1028002.9598412722</v>
      </c>
      <c r="BE194" s="41">
        <f t="shared" si="256"/>
        <v>1201757.1156310486</v>
      </c>
      <c r="BF194" s="41">
        <f t="shared" si="256"/>
        <v>1212287.6705273986</v>
      </c>
      <c r="BG194" s="41">
        <f t="shared" si="256"/>
        <v>1327104.6884295384</v>
      </c>
      <c r="BH194" s="237">
        <f t="shared" si="256"/>
        <v>1481326.3633631812</v>
      </c>
      <c r="BI194" s="41">
        <v>458</v>
      </c>
      <c r="BJ194" s="41">
        <v>292</v>
      </c>
      <c r="BK194" s="41">
        <v>396</v>
      </c>
      <c r="BL194" s="398">
        <v>565</v>
      </c>
      <c r="BM194" s="398">
        <v>460</v>
      </c>
      <c r="BN194" s="235">
        <v>553</v>
      </c>
      <c r="BO194" s="41"/>
      <c r="BP194" s="41"/>
      <c r="BQ194" s="41"/>
      <c r="BR194" s="205"/>
      <c r="BT194" s="235"/>
      <c r="BU194" s="41"/>
      <c r="BV194" s="41"/>
      <c r="BW194" s="41"/>
      <c r="BX194" s="41"/>
      <c r="BY194" s="41"/>
      <c r="BZ194" s="235"/>
      <c r="CA194" s="41"/>
      <c r="CB194" s="41"/>
      <c r="CC194" s="41"/>
      <c r="CD194" s="205"/>
      <c r="CE194" s="205"/>
      <c r="CF194" s="205"/>
      <c r="CG194" s="205"/>
      <c r="CH194" s="205"/>
      <c r="CI194" s="39"/>
      <c r="CJ194" s="286"/>
      <c r="CK194" s="286"/>
      <c r="CL194" s="38"/>
      <c r="CM194" s="38"/>
      <c r="CN194" s="38"/>
      <c r="CO194" s="39"/>
      <c r="CP194" s="41"/>
      <c r="CQ194" s="41"/>
      <c r="CR194" s="237"/>
      <c r="CS194" s="41">
        <f t="shared" si="239"/>
        <v>458</v>
      </c>
      <c r="CT194" s="41">
        <f t="shared" si="250"/>
        <v>292</v>
      </c>
      <c r="CU194" s="41">
        <f t="shared" si="250"/>
        <v>396</v>
      </c>
      <c r="CV194" s="41">
        <f t="shared" si="250"/>
        <v>565</v>
      </c>
      <c r="CW194" s="41">
        <f t="shared" si="250"/>
        <v>460</v>
      </c>
      <c r="CX194" s="237">
        <f t="shared" si="250"/>
        <v>553</v>
      </c>
      <c r="CY194" s="41">
        <f t="shared" si="251"/>
        <v>38895.114052647885</v>
      </c>
      <c r="CZ194" s="41">
        <f t="shared" si="251"/>
        <v>24797.75830430826</v>
      </c>
      <c r="DA194" s="41">
        <f t="shared" si="252"/>
        <v>33629.83660447285</v>
      </c>
      <c r="DB194" s="41">
        <f t="shared" si="252"/>
        <v>47981.9638422403</v>
      </c>
      <c r="DC194" s="41">
        <f t="shared" si="252"/>
        <v>39064.961712266435</v>
      </c>
      <c r="DD194" s="237">
        <f t="shared" si="252"/>
        <v>46962.87788452899</v>
      </c>
      <c r="DE194" s="39">
        <f t="shared" si="253"/>
        <v>14798</v>
      </c>
      <c r="DF194" s="39">
        <f t="shared" si="253"/>
        <v>11813</v>
      </c>
      <c r="DG194" s="39">
        <f t="shared" si="253"/>
        <v>13755</v>
      </c>
      <c r="DH194" s="39">
        <f t="shared" si="253"/>
        <v>13710</v>
      </c>
      <c r="DI194" s="39">
        <f t="shared" si="253"/>
        <v>15167</v>
      </c>
      <c r="DJ194" s="243">
        <f t="shared" si="253"/>
        <v>16890</v>
      </c>
      <c r="DK194" s="39">
        <f t="shared" si="234"/>
        <v>1256702.8335176494</v>
      </c>
      <c r="DL194" s="39">
        <f t="shared" si="254"/>
        <v>1003205.2015369639</v>
      </c>
      <c r="DM194" s="39">
        <f t="shared" si="254"/>
        <v>1168127.2790265756</v>
      </c>
      <c r="DN194" s="39">
        <f t="shared" si="254"/>
        <v>1164305.7066851582</v>
      </c>
      <c r="DO194" s="39">
        <f t="shared" si="254"/>
        <v>1288039.7267172718</v>
      </c>
      <c r="DP194" s="243">
        <f t="shared" si="254"/>
        <v>1434363.4854786522</v>
      </c>
      <c r="DQ194" s="39">
        <f>DK194+Commerical!I192</f>
        <v>1256702.8335176494</v>
      </c>
      <c r="DR194" s="39">
        <f>DL194+Commerical!J192</f>
        <v>1003205.2015369639</v>
      </c>
      <c r="DS194" s="39">
        <f>DM194+Commerical!K192</f>
        <v>1168127.2790265756</v>
      </c>
      <c r="DT194" s="39">
        <f>DN194+Commerical!L192</f>
        <v>1164305.7066851582</v>
      </c>
      <c r="DU194" s="39">
        <f>DO194+Commerical!M192</f>
        <v>1288039.7267172718</v>
      </c>
      <c r="DV194" s="243">
        <f>DP194+Commerical!N192</f>
        <v>1434363.4854786522</v>
      </c>
      <c r="DW194" s="39"/>
      <c r="DX194" s="39"/>
      <c r="DY194" s="38"/>
      <c r="DZ194" s="38"/>
      <c r="EA194" s="546"/>
      <c r="EB194" s="38"/>
      <c r="EC194" s="38"/>
      <c r="ED194" s="38"/>
    </row>
    <row r="195" spans="1:134" ht="12.75">
      <c r="A195" s="88" t="s">
        <v>309</v>
      </c>
      <c r="B195" s="29">
        <f>Commerical!B193</f>
        <v>0.024043761022927688</v>
      </c>
      <c r="C195" s="41">
        <v>5365</v>
      </c>
      <c r="D195" s="41">
        <v>5382</v>
      </c>
      <c r="E195" s="41">
        <v>4047</v>
      </c>
      <c r="F195" s="397">
        <v>3684</v>
      </c>
      <c r="G195" s="495">
        <v>4462</v>
      </c>
      <c r="H195" s="401"/>
      <c r="I195" s="205"/>
      <c r="J195" s="205"/>
      <c r="K195" s="205"/>
      <c r="L195" s="400"/>
      <c r="M195" s="401"/>
      <c r="N195" s="205"/>
      <c r="O195" s="205"/>
      <c r="P195" s="205"/>
      <c r="Q195" s="41"/>
      <c r="R195" s="272">
        <v>5194</v>
      </c>
      <c r="S195" s="41"/>
      <c r="T195" s="41"/>
      <c r="U195" s="41"/>
      <c r="V195" s="41"/>
      <c r="W195" s="41"/>
      <c r="X195" s="235"/>
      <c r="Y195" s="41">
        <v>6785</v>
      </c>
      <c r="Z195" s="41">
        <v>5453</v>
      </c>
      <c r="AA195" s="41">
        <v>5254</v>
      </c>
      <c r="AB195" s="397">
        <v>5634</v>
      </c>
      <c r="AC195" s="397">
        <v>6442</v>
      </c>
      <c r="AD195" s="41">
        <v>5954</v>
      </c>
      <c r="AE195" s="616"/>
      <c r="AF195" s="41"/>
      <c r="AG195" s="41"/>
      <c r="AH195" s="41"/>
      <c r="AI195" s="41"/>
      <c r="AJ195" s="41"/>
      <c r="AK195" s="41"/>
      <c r="AL195" s="41"/>
      <c r="AM195" s="41"/>
      <c r="AN195" s="41"/>
      <c r="AO195" s="41"/>
      <c r="AP195" s="38"/>
      <c r="AQ195" s="38"/>
      <c r="AR195" s="38"/>
      <c r="AS195" s="41"/>
      <c r="AT195" s="41"/>
      <c r="AU195" s="41"/>
      <c r="AV195" s="235"/>
      <c r="AW195" s="41">
        <f t="shared" si="255"/>
        <v>12150</v>
      </c>
      <c r="AX195" s="41">
        <f t="shared" si="255"/>
        <v>10835</v>
      </c>
      <c r="AY195" s="41">
        <f t="shared" si="255"/>
        <v>9301</v>
      </c>
      <c r="AZ195" s="41">
        <f t="shared" si="255"/>
        <v>9318</v>
      </c>
      <c r="BA195" s="41">
        <f t="shared" si="255"/>
        <v>10904</v>
      </c>
      <c r="BB195" s="237">
        <f>R195+AD195</f>
        <v>11148</v>
      </c>
      <c r="BC195" s="41">
        <f t="shared" si="220"/>
        <v>1114058854.183413</v>
      </c>
      <c r="BD195" s="41">
        <f>AX195*1000/0.45359237/$B195</f>
        <v>993483760.0886649</v>
      </c>
      <c r="BE195" s="41">
        <f t="shared" si="256"/>
        <v>852828098.9925863</v>
      </c>
      <c r="BF195" s="41">
        <f t="shared" si="256"/>
        <v>854386864.4675756</v>
      </c>
      <c r="BG195" s="41">
        <f t="shared" si="256"/>
        <v>999810514.0753856</v>
      </c>
      <c r="BH195" s="237">
        <f t="shared" si="256"/>
        <v>1022183383.2458179</v>
      </c>
      <c r="BI195" s="41">
        <v>4703</v>
      </c>
      <c r="BJ195" s="41">
        <v>3458</v>
      </c>
      <c r="BK195" s="41">
        <v>2894</v>
      </c>
      <c r="BL195" s="397">
        <v>3266</v>
      </c>
      <c r="BM195" s="397">
        <v>2809</v>
      </c>
      <c r="BN195" s="235">
        <v>2821</v>
      </c>
      <c r="BO195" s="41"/>
      <c r="BP195" s="41"/>
      <c r="BQ195" s="41"/>
      <c r="BR195" s="205"/>
      <c r="BT195" s="235"/>
      <c r="BU195" s="41"/>
      <c r="BV195" s="41"/>
      <c r="BW195" s="41"/>
      <c r="BX195" s="41"/>
      <c r="BY195" s="41"/>
      <c r="BZ195" s="235"/>
      <c r="CA195" s="41"/>
      <c r="CB195" s="41"/>
      <c r="CC195" s="41"/>
      <c r="CD195" s="205"/>
      <c r="CE195" s="205"/>
      <c r="CF195" s="205"/>
      <c r="CG195" s="205"/>
      <c r="CH195" s="205"/>
      <c r="CI195" s="39"/>
      <c r="CJ195" s="286"/>
      <c r="CK195" s="286"/>
      <c r="CL195" s="38"/>
      <c r="CM195" s="38"/>
      <c r="CN195" s="38"/>
      <c r="CO195" s="39"/>
      <c r="CP195" s="41"/>
      <c r="CQ195" s="41"/>
      <c r="CR195" s="237"/>
      <c r="CS195" s="41">
        <f t="shared" si="239"/>
        <v>4703</v>
      </c>
      <c r="CT195" s="41">
        <f t="shared" si="250"/>
        <v>3458</v>
      </c>
      <c r="CU195" s="41">
        <f t="shared" si="250"/>
        <v>2894</v>
      </c>
      <c r="CV195" s="41">
        <f t="shared" si="250"/>
        <v>3266</v>
      </c>
      <c r="CW195" s="41">
        <f t="shared" si="250"/>
        <v>2809</v>
      </c>
      <c r="CX195" s="237">
        <f t="shared" si="250"/>
        <v>2821</v>
      </c>
      <c r="CY195" s="41">
        <f t="shared" si="251"/>
        <v>431227884.0514067</v>
      </c>
      <c r="CZ195" s="41">
        <f t="shared" si="251"/>
        <v>317071236.0301434</v>
      </c>
      <c r="DA195" s="41">
        <f t="shared" si="252"/>
        <v>265356899.09520963</v>
      </c>
      <c r="DB195" s="41">
        <f t="shared" si="252"/>
        <v>299466355.37144256</v>
      </c>
      <c r="DC195" s="41">
        <f t="shared" si="252"/>
        <v>257563071.72026396</v>
      </c>
      <c r="DD195" s="237">
        <f t="shared" si="252"/>
        <v>258663376.76143277</v>
      </c>
      <c r="DE195" s="39">
        <f t="shared" si="253"/>
        <v>7447</v>
      </c>
      <c r="DF195" s="39">
        <f t="shared" si="253"/>
        <v>7377</v>
      </c>
      <c r="DG195" s="39">
        <f t="shared" si="253"/>
        <v>6407</v>
      </c>
      <c r="DH195" s="39">
        <f t="shared" si="253"/>
        <v>6052</v>
      </c>
      <c r="DI195" s="39">
        <f t="shared" si="253"/>
        <v>8095</v>
      </c>
      <c r="DJ195" s="243">
        <f t="shared" si="253"/>
        <v>8327</v>
      </c>
      <c r="DK195" s="39">
        <f t="shared" si="234"/>
        <v>682830970.1320064</v>
      </c>
      <c r="DL195" s="39">
        <f t="shared" si="254"/>
        <v>676412524.0585215</v>
      </c>
      <c r="DM195" s="39">
        <f t="shared" si="254"/>
        <v>587471199.8973767</v>
      </c>
      <c r="DN195" s="39">
        <f t="shared" si="254"/>
        <v>554920509.096133</v>
      </c>
      <c r="DO195" s="39">
        <f t="shared" si="254"/>
        <v>742247442.3551216</v>
      </c>
      <c r="DP195" s="243">
        <f t="shared" si="254"/>
        <v>763520006.4843851</v>
      </c>
      <c r="DQ195" s="39">
        <f>DK195+Commerical!I193</f>
        <v>1868336015.4042127</v>
      </c>
      <c r="DR195" s="39">
        <f>DL195+Commerical!J193</f>
        <v>1844283057.009811</v>
      </c>
      <c r="DS195" s="39">
        <f>DM195+Commerical!K193</f>
        <v>2066898647.4618468</v>
      </c>
      <c r="DT195" s="39">
        <f>DN195+Commerical!L193</f>
        <v>1809383152.0760758</v>
      </c>
      <c r="DU195" s="39">
        <f>DO195+Commerical!M193</f>
        <v>2312509264.704692</v>
      </c>
      <c r="DV195" s="243">
        <f>DP195+Commerical!N193</f>
        <v>1900779687.8597436</v>
      </c>
      <c r="DW195" s="39"/>
      <c r="DX195" s="213"/>
      <c r="DY195" s="38"/>
      <c r="DZ195" s="217"/>
      <c r="EA195" s="547"/>
      <c r="EB195" s="38"/>
      <c r="EC195" s="38"/>
      <c r="ED195" s="38"/>
    </row>
    <row r="196" spans="1:134" ht="12.75">
      <c r="A196" s="88" t="s">
        <v>310</v>
      </c>
      <c r="B196" s="29">
        <f>Commerical!B194</f>
        <v>0.012261904761904764</v>
      </c>
      <c r="C196" s="41"/>
      <c r="E196" s="41"/>
      <c r="F196" s="41"/>
      <c r="G196" s="235"/>
      <c r="H196" s="41"/>
      <c r="I196" s="205"/>
      <c r="J196" s="205"/>
      <c r="K196" s="205"/>
      <c r="L196" s="205"/>
      <c r="M196" s="205"/>
      <c r="N196" s="205"/>
      <c r="O196" s="205"/>
      <c r="P196" s="205"/>
      <c r="Q196" s="205"/>
      <c r="R196" s="271"/>
      <c r="S196" s="205"/>
      <c r="T196" s="205"/>
      <c r="U196" s="205"/>
      <c r="V196" s="205"/>
      <c r="W196" s="205"/>
      <c r="X196" s="216"/>
      <c r="Y196" s="205"/>
      <c r="Z196" s="205"/>
      <c r="AA196" s="205"/>
      <c r="AB196" s="205"/>
      <c r="AC196" s="38"/>
      <c r="AD196" s="41"/>
      <c r="AE196" s="616"/>
      <c r="AF196" s="205"/>
      <c r="AG196" s="205"/>
      <c r="AH196" s="205"/>
      <c r="AI196" s="205"/>
      <c r="AJ196" s="205"/>
      <c r="AK196" s="205"/>
      <c r="AL196" s="205"/>
      <c r="AM196" s="41"/>
      <c r="AN196" s="41"/>
      <c r="AO196" s="41"/>
      <c r="AP196" s="38"/>
      <c r="AQ196" s="38"/>
      <c r="AR196" s="38"/>
      <c r="AS196" s="205"/>
      <c r="AT196" s="205"/>
      <c r="AU196" s="205"/>
      <c r="AV196" s="235"/>
      <c r="AW196" s="41"/>
      <c r="AX196" s="41"/>
      <c r="AY196" s="41"/>
      <c r="AZ196" s="41"/>
      <c r="BA196" s="41"/>
      <c r="BB196" s="237"/>
      <c r="BC196" s="41"/>
      <c r="BD196" s="41"/>
      <c r="BE196" s="210"/>
      <c r="BF196" s="41"/>
      <c r="BG196" s="41"/>
      <c r="BH196" s="237"/>
      <c r="BI196" s="41"/>
      <c r="BJ196" s="41"/>
      <c r="BL196" s="41"/>
      <c r="BM196" s="41"/>
      <c r="BN196" s="238"/>
      <c r="BO196" s="38"/>
      <c r="BP196" s="38"/>
      <c r="BQ196" s="38"/>
      <c r="BR196" s="205"/>
      <c r="BS196" s="205"/>
      <c r="BT196" s="216"/>
      <c r="BU196" s="205"/>
      <c r="BV196" s="205"/>
      <c r="BW196" s="205"/>
      <c r="BX196" s="205"/>
      <c r="BY196" s="205"/>
      <c r="BZ196" s="235"/>
      <c r="CA196" s="41"/>
      <c r="CB196" s="41"/>
      <c r="CC196" s="205"/>
      <c r="CD196" s="205"/>
      <c r="CE196" s="205"/>
      <c r="CF196" s="205"/>
      <c r="CG196" s="205"/>
      <c r="CH196" s="205"/>
      <c r="CI196" s="39"/>
      <c r="CJ196" s="286"/>
      <c r="CK196" s="286"/>
      <c r="CL196" s="38"/>
      <c r="CM196" s="38"/>
      <c r="CN196" s="38"/>
      <c r="CO196" s="39"/>
      <c r="CP196" s="205"/>
      <c r="CQ196" s="205"/>
      <c r="CR196" s="282"/>
      <c r="CS196" s="41"/>
      <c r="CT196" s="41"/>
      <c r="CU196" s="41"/>
      <c r="CV196" s="41"/>
      <c r="CW196" s="41"/>
      <c r="CX196" s="237"/>
      <c r="CY196" s="41"/>
      <c r="CZ196" s="41"/>
      <c r="DA196" s="41"/>
      <c r="DB196" s="41"/>
      <c r="DC196" s="41"/>
      <c r="DD196" s="237"/>
      <c r="DE196" s="41"/>
      <c r="DF196" s="39"/>
      <c r="DG196" s="39"/>
      <c r="DH196" s="39"/>
      <c r="DI196" s="39"/>
      <c r="DJ196" s="243"/>
      <c r="DK196" s="39"/>
      <c r="DL196" s="39"/>
      <c r="DM196" s="39"/>
      <c r="DN196" s="39"/>
      <c r="DO196" s="39"/>
      <c r="DP196" s="243"/>
      <c r="DQ196" s="39">
        <f>DK196+Commerical!I194</f>
        <v>13048543.689320385</v>
      </c>
      <c r="DR196" s="39">
        <f>DL196+Commerical!J194</f>
        <v>10601941.747572813</v>
      </c>
      <c r="DS196" s="39">
        <f>DM196+Commerical!K194</f>
        <v>22427184.466019414</v>
      </c>
      <c r="DT196" s="39">
        <f>DN196+Commerical!L194</f>
        <v>10683495.145631066</v>
      </c>
      <c r="DU196" s="39">
        <f>DO196+Commerical!M194</f>
        <v>15005825.242718445</v>
      </c>
      <c r="DV196" s="243">
        <f>DP196+Commerical!N194</f>
        <v>7584466.019417475</v>
      </c>
      <c r="DW196" s="138"/>
      <c r="DX196" s="213"/>
      <c r="DY196" s="38"/>
      <c r="DZ196" s="38"/>
      <c r="EA196" s="547"/>
      <c r="EB196" s="38"/>
      <c r="EC196" s="38"/>
      <c r="ED196" s="38"/>
    </row>
    <row r="197" spans="1:134" ht="12.75">
      <c r="A197" s="88" t="s">
        <v>312</v>
      </c>
      <c r="B197" s="29">
        <f>Commerical!B195</f>
        <v>0.05613392857142857</v>
      </c>
      <c r="C197" s="41"/>
      <c r="D197" s="41"/>
      <c r="E197" s="41"/>
      <c r="F197" s="41"/>
      <c r="G197" s="235"/>
      <c r="H197" s="41"/>
      <c r="I197" s="205"/>
      <c r="J197" s="205"/>
      <c r="K197" s="205"/>
      <c r="L197" s="205"/>
      <c r="M197" s="205"/>
      <c r="N197" s="205"/>
      <c r="O197" s="205"/>
      <c r="P197" s="205"/>
      <c r="Q197" s="205"/>
      <c r="R197" s="271"/>
      <c r="S197" s="205"/>
      <c r="T197" s="205"/>
      <c r="U197" s="205"/>
      <c r="V197" s="205"/>
      <c r="W197" s="205"/>
      <c r="X197" s="216"/>
      <c r="Y197" s="205"/>
      <c r="Z197" s="205"/>
      <c r="AA197" s="205"/>
      <c r="AB197" s="205"/>
      <c r="AC197" s="38"/>
      <c r="AD197" s="41"/>
      <c r="AE197" s="616"/>
      <c r="AF197" s="205"/>
      <c r="AG197" s="205"/>
      <c r="AH197" s="205"/>
      <c r="AI197" s="205"/>
      <c r="AJ197" s="205"/>
      <c r="AK197" s="205"/>
      <c r="AL197" s="205"/>
      <c r="AM197" s="41"/>
      <c r="AN197" s="41"/>
      <c r="AO197" s="41"/>
      <c r="AP197" s="38"/>
      <c r="AQ197" s="38"/>
      <c r="AR197" s="38"/>
      <c r="AS197" s="205"/>
      <c r="AT197" s="205"/>
      <c r="AU197" s="205"/>
      <c r="AV197" s="235"/>
      <c r="AW197" s="41"/>
      <c r="AX197" s="41"/>
      <c r="AY197" s="41"/>
      <c r="AZ197" s="41"/>
      <c r="BA197" s="41"/>
      <c r="BB197" s="237"/>
      <c r="BC197" s="41"/>
      <c r="BD197" s="41"/>
      <c r="BE197" s="210"/>
      <c r="BF197" s="41"/>
      <c r="BG197" s="41"/>
      <c r="BH197" s="237"/>
      <c r="BI197" s="41"/>
      <c r="BJ197" s="41"/>
      <c r="BK197" s="41"/>
      <c r="BL197" s="41"/>
      <c r="BM197" s="41"/>
      <c r="BN197" s="216"/>
      <c r="BO197" s="205"/>
      <c r="BP197" s="205"/>
      <c r="BQ197" s="205"/>
      <c r="BR197" s="205"/>
      <c r="BS197" s="205"/>
      <c r="BT197" s="216"/>
      <c r="BU197" s="205"/>
      <c r="BV197" s="205"/>
      <c r="BW197" s="205"/>
      <c r="BX197" s="205"/>
      <c r="BY197" s="205"/>
      <c r="BZ197" s="235"/>
      <c r="CA197" s="41"/>
      <c r="CB197" s="41"/>
      <c r="CC197" s="205"/>
      <c r="CD197" s="205"/>
      <c r="CE197" s="205"/>
      <c r="CF197" s="205"/>
      <c r="CG197" s="205"/>
      <c r="CH197" s="205"/>
      <c r="CI197" s="39"/>
      <c r="CJ197" s="286"/>
      <c r="CK197" s="286"/>
      <c r="CL197" s="38"/>
      <c r="CM197" s="38"/>
      <c r="CN197" s="38"/>
      <c r="CO197" s="39"/>
      <c r="CP197" s="205"/>
      <c r="CQ197" s="205"/>
      <c r="CR197" s="282"/>
      <c r="CS197" s="41"/>
      <c r="CT197" s="41"/>
      <c r="CU197" s="41"/>
      <c r="CV197" s="41"/>
      <c r="CW197" s="41"/>
      <c r="CX197" s="237"/>
      <c r="CY197" s="41"/>
      <c r="CZ197" s="41"/>
      <c r="DA197" s="41"/>
      <c r="DB197" s="41"/>
      <c r="DC197" s="41"/>
      <c r="DD197" s="237"/>
      <c r="DE197" s="41"/>
      <c r="DF197" s="39"/>
      <c r="DG197" s="39"/>
      <c r="DH197" s="39"/>
      <c r="DI197" s="39"/>
      <c r="DJ197" s="243"/>
      <c r="DK197" s="39"/>
      <c r="DL197" s="39"/>
      <c r="DM197" s="39"/>
      <c r="DN197" s="39"/>
      <c r="DO197" s="39"/>
      <c r="DP197" s="243"/>
      <c r="DQ197" s="39">
        <f>DK197+Commerical!I195</f>
        <v>1053142039.1283602</v>
      </c>
      <c r="DR197" s="39">
        <f>DL197+Commerical!J195</f>
        <v>1023516462.5417528</v>
      </c>
      <c r="DS197" s="39">
        <f>DM197+Commerical!K195</f>
        <v>1033243200.2544934</v>
      </c>
      <c r="DT197" s="39">
        <f>DN197+Commerical!L195</f>
        <v>953558772.0693494</v>
      </c>
      <c r="DU197" s="39">
        <f>DO197+Commerical!M195</f>
        <v>1043201526.9603945</v>
      </c>
      <c r="DV197" s="243">
        <f>DP197+Commerical!N195</f>
        <v>1051164625.4175283</v>
      </c>
      <c r="DW197" s="138"/>
      <c r="DX197" s="213"/>
      <c r="DY197" s="38"/>
      <c r="DZ197" s="38"/>
      <c r="EA197" s="547"/>
      <c r="EB197" s="38"/>
      <c r="EC197" s="38"/>
      <c r="ED197" s="38"/>
    </row>
    <row r="198" spans="1:134" ht="12.75">
      <c r="A198" s="88" t="s">
        <v>659</v>
      </c>
      <c r="B198" s="29">
        <f>SUM(Commerical!C194:H195)*1000/SUM(Commerical!I194:N195)</f>
        <v>0.05557577407681051</v>
      </c>
      <c r="C198" s="41">
        <v>25167</v>
      </c>
      <c r="D198" s="41">
        <v>22872</v>
      </c>
      <c r="E198" s="41">
        <v>24411</v>
      </c>
      <c r="F198" s="397">
        <v>25358</v>
      </c>
      <c r="G198" s="495">
        <v>25049</v>
      </c>
      <c r="H198" s="401"/>
      <c r="I198" s="41"/>
      <c r="J198" s="41"/>
      <c r="K198" s="41"/>
      <c r="L198" s="41"/>
      <c r="M198" s="41"/>
      <c r="N198" s="205"/>
      <c r="O198" s="205"/>
      <c r="P198" s="205"/>
      <c r="Q198" s="41"/>
      <c r="R198" s="272">
        <v>26916</v>
      </c>
      <c r="S198" s="41"/>
      <c r="T198" s="41"/>
      <c r="U198" s="41"/>
      <c r="V198" s="41"/>
      <c r="W198" s="41"/>
      <c r="X198" s="235"/>
      <c r="Y198" s="41"/>
      <c r="Z198" s="41"/>
      <c r="AA198" s="41"/>
      <c r="AB198" s="41"/>
      <c r="AC198" s="38"/>
      <c r="AD198" s="41"/>
      <c r="AE198" s="616"/>
      <c r="AF198" s="41"/>
      <c r="AG198" s="41"/>
      <c r="AH198" s="41"/>
      <c r="AI198" s="41"/>
      <c r="AJ198" s="41"/>
      <c r="AK198" s="41"/>
      <c r="AL198" s="41"/>
      <c r="AM198" s="41"/>
      <c r="AN198" s="41"/>
      <c r="AO198" s="41"/>
      <c r="AP198" s="38"/>
      <c r="AQ198" s="38"/>
      <c r="AR198" s="38"/>
      <c r="AS198" s="41"/>
      <c r="AT198" s="41"/>
      <c r="AU198" s="41"/>
      <c r="AV198" s="235"/>
      <c r="AW198" s="41">
        <f aca="true" t="shared" si="257" ref="AW198:BA199">C198+Y198</f>
        <v>25167</v>
      </c>
      <c r="AX198" s="41">
        <f t="shared" si="257"/>
        <v>22872</v>
      </c>
      <c r="AY198" s="41">
        <f t="shared" si="257"/>
        <v>24411</v>
      </c>
      <c r="AZ198" s="41">
        <f t="shared" si="257"/>
        <v>25358</v>
      </c>
      <c r="BA198" s="41">
        <f t="shared" si="257"/>
        <v>25049</v>
      </c>
      <c r="BB198" s="237">
        <f>R198+AD198</f>
        <v>26916</v>
      </c>
      <c r="BC198" s="41">
        <f t="shared" si="220"/>
        <v>998343944.7444283</v>
      </c>
      <c r="BD198" s="41">
        <f>AX198*1000/0.45359237/$B198</f>
        <v>907304116.6684372</v>
      </c>
      <c r="BE198" s="41">
        <f aca="true" t="shared" si="258" ref="BE198:BH199">AY198*1000/0.45359237/$B198</f>
        <v>968354354.3193959</v>
      </c>
      <c r="BF198" s="41">
        <f t="shared" si="258"/>
        <v>1005920679.8914932</v>
      </c>
      <c r="BG198" s="41">
        <f t="shared" si="258"/>
        <v>993663029.8368173</v>
      </c>
      <c r="BH198" s="237">
        <f t="shared" si="258"/>
        <v>1067724624.180118</v>
      </c>
      <c r="BI198" s="41">
        <v>12309</v>
      </c>
      <c r="BJ198" s="41">
        <v>9716</v>
      </c>
      <c r="BK198" s="41">
        <v>9356</v>
      </c>
      <c r="BL198" s="397">
        <v>9068</v>
      </c>
      <c r="BM198" s="397">
        <v>9011</v>
      </c>
      <c r="BN198" s="216">
        <v>10561</v>
      </c>
      <c r="BO198" s="205"/>
      <c r="BP198" s="205"/>
      <c r="BQ198" s="205"/>
      <c r="BR198" s="205"/>
      <c r="BT198" s="235"/>
      <c r="BU198" s="41"/>
      <c r="BV198" s="41"/>
      <c r="BW198" s="41"/>
      <c r="BX198" s="41"/>
      <c r="BY198" s="41"/>
      <c r="BZ198" s="235"/>
      <c r="CA198" s="41"/>
      <c r="CB198" s="41"/>
      <c r="CC198" s="41"/>
      <c r="CD198" s="205"/>
      <c r="CE198" s="205"/>
      <c r="CF198" s="205"/>
      <c r="CG198" s="205"/>
      <c r="CH198" s="205"/>
      <c r="CI198" s="39"/>
      <c r="CJ198" s="286"/>
      <c r="CK198" s="286"/>
      <c r="CL198" s="38"/>
      <c r="CM198" s="38"/>
      <c r="CN198" s="38"/>
      <c r="CO198" s="39"/>
      <c r="CP198" s="41"/>
      <c r="CQ198" s="41"/>
      <c r="CR198" s="237"/>
      <c r="CS198" s="41">
        <f t="shared" si="239"/>
        <v>12309</v>
      </c>
      <c r="CT198" s="41">
        <f aca="true" t="shared" si="259" ref="CT198:CX199">BJ198+BV198</f>
        <v>9716</v>
      </c>
      <c r="CU198" s="41">
        <f t="shared" si="259"/>
        <v>9356</v>
      </c>
      <c r="CV198" s="41">
        <f t="shared" si="259"/>
        <v>9068</v>
      </c>
      <c r="CW198" s="41">
        <f t="shared" si="259"/>
        <v>9011</v>
      </c>
      <c r="CX198" s="237">
        <f t="shared" si="259"/>
        <v>10561</v>
      </c>
      <c r="CY198" s="41">
        <f>CS198*1000/0.45359237/$B198</f>
        <v>488282894.8964584</v>
      </c>
      <c r="CZ198" s="41">
        <f>CT198*1000/0.45359237/$B198</f>
        <v>385421773.2402298</v>
      </c>
      <c r="DA198" s="41">
        <f aca="true" t="shared" si="260" ref="DA198:DD199">CU198*1000/0.45359237/$B198</f>
        <v>371141015.8949763</v>
      </c>
      <c r="DB198" s="41">
        <f t="shared" si="260"/>
        <v>359716410.0187736</v>
      </c>
      <c r="DC198" s="41">
        <f t="shared" si="260"/>
        <v>357455290.1057751</v>
      </c>
      <c r="DD198" s="237">
        <f t="shared" si="260"/>
        <v>418941884.231172</v>
      </c>
      <c r="DE198" s="39">
        <f aca="true" t="shared" si="261" ref="DE198:DP199">AW198-CS198</f>
        <v>12858</v>
      </c>
      <c r="DF198" s="39">
        <f t="shared" si="261"/>
        <v>13156</v>
      </c>
      <c r="DG198" s="39">
        <f t="shared" si="261"/>
        <v>15055</v>
      </c>
      <c r="DH198" s="39">
        <f t="shared" si="261"/>
        <v>16290</v>
      </c>
      <c r="DI198" s="39">
        <f t="shared" si="261"/>
        <v>16038</v>
      </c>
      <c r="DJ198" s="243">
        <f t="shared" si="261"/>
        <v>16355</v>
      </c>
      <c r="DK198" s="39">
        <f t="shared" si="261"/>
        <v>510061049.8479699</v>
      </c>
      <c r="DL198" s="39">
        <f t="shared" si="261"/>
        <v>521882343.42820746</v>
      </c>
      <c r="DM198" s="39">
        <f t="shared" si="261"/>
        <v>597213338.4244196</v>
      </c>
      <c r="DN198" s="39">
        <f t="shared" si="261"/>
        <v>646204269.8727195</v>
      </c>
      <c r="DO198" s="39">
        <f t="shared" si="261"/>
        <v>636207739.7310421</v>
      </c>
      <c r="DP198" s="243">
        <f t="shared" si="261"/>
        <v>648782739.948946</v>
      </c>
      <c r="DQ198" s="39">
        <f>DK198+Commerical!I196</f>
        <v>510061049.8479699</v>
      </c>
      <c r="DR198" s="39">
        <f>DL198+Commerical!J196</f>
        <v>521882343.42820746</v>
      </c>
      <c r="DS198" s="39">
        <f>DM198+Commerical!K196</f>
        <v>597213338.4244196</v>
      </c>
      <c r="DT198" s="39">
        <f>DN198+Commerical!L196</f>
        <v>646204269.8727195</v>
      </c>
      <c r="DU198" s="39">
        <f>DO198+Commerical!M196</f>
        <v>636207739.7310421</v>
      </c>
      <c r="DV198" s="243">
        <f>DP198+Commerical!N196</f>
        <v>648782739.948946</v>
      </c>
      <c r="DW198" s="138"/>
      <c r="DX198" s="39"/>
      <c r="DY198" s="38"/>
      <c r="DZ198" s="38"/>
      <c r="EA198" s="547"/>
      <c r="EB198" s="213"/>
      <c r="EC198" s="38"/>
      <c r="ED198" s="38"/>
    </row>
    <row r="199" spans="1:134" ht="12.75">
      <c r="A199" s="88" t="s">
        <v>323</v>
      </c>
      <c r="B199" s="29">
        <f>Commerical!B197</f>
        <v>0.35</v>
      </c>
      <c r="C199" s="41">
        <v>2521</v>
      </c>
      <c r="D199" s="41">
        <v>2087</v>
      </c>
      <c r="E199" s="41">
        <v>1687</v>
      </c>
      <c r="F199" s="397">
        <v>2111</v>
      </c>
      <c r="G199" s="495">
        <v>2248</v>
      </c>
      <c r="H199" s="401"/>
      <c r="I199" s="41"/>
      <c r="J199" s="41"/>
      <c r="K199" s="41"/>
      <c r="L199" s="41"/>
      <c r="M199" s="41"/>
      <c r="N199" s="205"/>
      <c r="O199" s="205"/>
      <c r="P199" s="205"/>
      <c r="Q199" s="41"/>
      <c r="R199" s="272">
        <v>2277</v>
      </c>
      <c r="S199" s="41"/>
      <c r="T199" s="41"/>
      <c r="U199" s="41"/>
      <c r="V199" s="41"/>
      <c r="W199" s="41"/>
      <c r="X199" s="235"/>
      <c r="Y199" s="41"/>
      <c r="Z199" s="41"/>
      <c r="AA199" s="41"/>
      <c r="AB199" s="41"/>
      <c r="AC199" s="38"/>
      <c r="AD199" s="41"/>
      <c r="AE199" s="616"/>
      <c r="AF199" s="41"/>
      <c r="AG199" s="41"/>
      <c r="AH199" s="41"/>
      <c r="AI199" s="41"/>
      <c r="AJ199" s="41"/>
      <c r="AK199" s="41"/>
      <c r="AL199" s="41"/>
      <c r="AM199" s="41"/>
      <c r="AN199" s="41"/>
      <c r="AO199" s="41"/>
      <c r="AP199" s="38"/>
      <c r="AQ199" s="38"/>
      <c r="AR199" s="38"/>
      <c r="AS199" s="41"/>
      <c r="AT199" s="41"/>
      <c r="AU199" s="41"/>
      <c r="AV199" s="235"/>
      <c r="AW199" s="41">
        <f t="shared" si="257"/>
        <v>2521</v>
      </c>
      <c r="AX199" s="41">
        <f t="shared" si="257"/>
        <v>2087</v>
      </c>
      <c r="AY199" s="41">
        <f t="shared" si="257"/>
        <v>1687</v>
      </c>
      <c r="AZ199" s="41">
        <f t="shared" si="257"/>
        <v>2111</v>
      </c>
      <c r="BA199" s="41">
        <f t="shared" si="257"/>
        <v>2248</v>
      </c>
      <c r="BB199" s="237">
        <f>R199+AD199</f>
        <v>2277</v>
      </c>
      <c r="BC199" s="41">
        <f t="shared" si="220"/>
        <v>15879581.799087899</v>
      </c>
      <c r="BD199" s="41">
        <f>AX199*1000/0.45359237/$B199</f>
        <v>13145849.747995416</v>
      </c>
      <c r="BE199" s="41">
        <f t="shared" si="258"/>
        <v>10626281.0373111</v>
      </c>
      <c r="BF199" s="41">
        <f t="shared" si="258"/>
        <v>13297023.870636472</v>
      </c>
      <c r="BG199" s="41">
        <f t="shared" si="258"/>
        <v>14159976.154045852</v>
      </c>
      <c r="BH199" s="237">
        <f t="shared" si="258"/>
        <v>14342644.885570463</v>
      </c>
      <c r="BI199" s="41">
        <v>160</v>
      </c>
      <c r="BJ199" s="41">
        <v>159</v>
      </c>
      <c r="BK199" s="41">
        <v>189</v>
      </c>
      <c r="BL199" s="398">
        <v>143</v>
      </c>
      <c r="BM199" s="398">
        <v>145</v>
      </c>
      <c r="BN199" s="235">
        <v>318</v>
      </c>
      <c r="BO199" s="41"/>
      <c r="BP199" s="41"/>
      <c r="BQ199" s="41"/>
      <c r="BR199" s="205"/>
      <c r="BT199" s="235"/>
      <c r="BU199" s="41"/>
      <c r="BV199" s="41"/>
      <c r="BW199" s="41"/>
      <c r="BX199" s="41"/>
      <c r="BY199" s="41"/>
      <c r="BZ199" s="235"/>
      <c r="CA199" s="41"/>
      <c r="CB199" s="41"/>
      <c r="CC199" s="41"/>
      <c r="CD199" s="205"/>
      <c r="CE199" s="205"/>
      <c r="CF199" s="205"/>
      <c r="CG199" s="205"/>
      <c r="CH199" s="205"/>
      <c r="CI199" s="39"/>
      <c r="CJ199" s="286"/>
      <c r="CK199" s="286"/>
      <c r="CL199" s="38"/>
      <c r="CM199" s="38"/>
      <c r="CN199" s="38"/>
      <c r="CO199" s="39"/>
      <c r="CP199" s="41"/>
      <c r="CQ199" s="41"/>
      <c r="CR199" s="237"/>
      <c r="CS199" s="41">
        <f t="shared" si="239"/>
        <v>160</v>
      </c>
      <c r="CT199" s="41">
        <f t="shared" si="259"/>
        <v>159</v>
      </c>
      <c r="CU199" s="41">
        <f t="shared" si="259"/>
        <v>189</v>
      </c>
      <c r="CV199" s="41">
        <f t="shared" si="259"/>
        <v>143</v>
      </c>
      <c r="CW199" s="41">
        <f t="shared" si="259"/>
        <v>145</v>
      </c>
      <c r="CX199" s="237">
        <f t="shared" si="259"/>
        <v>318</v>
      </c>
      <c r="CY199" s="41">
        <f>CS199*1000/0.45359237/$B199</f>
        <v>1007827.4842737261</v>
      </c>
      <c r="CZ199" s="41">
        <f>CT199*1000/0.45359237/$B199</f>
        <v>1001528.5624970153</v>
      </c>
      <c r="DA199" s="41">
        <f t="shared" si="260"/>
        <v>1190496.215798339</v>
      </c>
      <c r="DB199" s="41">
        <f t="shared" si="260"/>
        <v>900745.8140696428</v>
      </c>
      <c r="DC199" s="41">
        <f t="shared" si="260"/>
        <v>913343.6576230644</v>
      </c>
      <c r="DD199" s="237">
        <f t="shared" si="260"/>
        <v>2003057.1249940307</v>
      </c>
      <c r="DE199" s="39">
        <f t="shared" si="261"/>
        <v>2361</v>
      </c>
      <c r="DF199" s="39">
        <f t="shared" si="261"/>
        <v>1928</v>
      </c>
      <c r="DG199" s="39">
        <f t="shared" si="261"/>
        <v>1498</v>
      </c>
      <c r="DH199" s="39">
        <f t="shared" si="261"/>
        <v>1968</v>
      </c>
      <c r="DI199" s="39">
        <f t="shared" si="261"/>
        <v>2103</v>
      </c>
      <c r="DJ199" s="243">
        <f t="shared" si="261"/>
        <v>1959</v>
      </c>
      <c r="DK199" s="39">
        <f t="shared" si="261"/>
        <v>14871754.314814173</v>
      </c>
      <c r="DL199" s="39">
        <f t="shared" si="261"/>
        <v>12144321.1854984</v>
      </c>
      <c r="DM199" s="39">
        <f t="shared" si="261"/>
        <v>9435784.82151276</v>
      </c>
      <c r="DN199" s="39">
        <f t="shared" si="261"/>
        <v>12396278.056566829</v>
      </c>
      <c r="DO199" s="39">
        <f t="shared" si="261"/>
        <v>13246632.496422788</v>
      </c>
      <c r="DP199" s="243">
        <f t="shared" si="261"/>
        <v>12339587.760576433</v>
      </c>
      <c r="DQ199" s="39">
        <f>DK199+Commerical!I197</f>
        <v>56788897.17195703</v>
      </c>
      <c r="DR199" s="39">
        <f>DL199+Commerical!J197</f>
        <v>52607178.32835554</v>
      </c>
      <c r="DS199" s="39">
        <f>DM199+Commerical!K197</f>
        <v>57087213.39294133</v>
      </c>
      <c r="DT199" s="39">
        <f>DN199+Commerical!L197</f>
        <v>54681992.34228112</v>
      </c>
      <c r="DU199" s="39">
        <f>DO199+Commerical!M197</f>
        <v>57075203.92499422</v>
      </c>
      <c r="DV199" s="243">
        <f>DP199+Commerical!N197</f>
        <v>57156730.61771929</v>
      </c>
      <c r="DW199" s="39"/>
      <c r="DX199" s="39"/>
      <c r="DY199" s="38"/>
      <c r="DZ199" s="38"/>
      <c r="EA199" s="546"/>
      <c r="EB199" s="38"/>
      <c r="EC199" s="38"/>
      <c r="ED199" s="38"/>
    </row>
    <row r="200" spans="1:134" ht="12.75">
      <c r="A200" s="88" t="s">
        <v>313</v>
      </c>
      <c r="B200" s="29">
        <f>Commerical!B198</f>
        <v>0.05511463844797178</v>
      </c>
      <c r="C200" s="41"/>
      <c r="E200" s="41"/>
      <c r="F200" s="41"/>
      <c r="G200" s="235"/>
      <c r="H200" s="41"/>
      <c r="I200" s="205"/>
      <c r="J200" s="205"/>
      <c r="K200" s="205"/>
      <c r="L200" s="205"/>
      <c r="M200" s="205"/>
      <c r="N200" s="205"/>
      <c r="O200" s="205"/>
      <c r="P200" s="205"/>
      <c r="Q200" s="205"/>
      <c r="R200" s="271"/>
      <c r="S200" s="205"/>
      <c r="T200" s="205"/>
      <c r="U200" s="205"/>
      <c r="V200" s="205"/>
      <c r="W200" s="205"/>
      <c r="X200" s="216"/>
      <c r="Y200" s="205"/>
      <c r="Z200" s="205"/>
      <c r="AA200" s="205"/>
      <c r="AB200" s="205"/>
      <c r="AC200" s="38"/>
      <c r="AD200" s="41"/>
      <c r="AE200" s="616"/>
      <c r="AF200" s="205"/>
      <c r="AG200" s="205"/>
      <c r="AH200" s="205"/>
      <c r="AI200" s="205"/>
      <c r="AJ200" s="205"/>
      <c r="AK200" s="205"/>
      <c r="AL200" s="205"/>
      <c r="AM200" s="41"/>
      <c r="AN200" s="41"/>
      <c r="AO200" s="41"/>
      <c r="AP200" s="38"/>
      <c r="AQ200" s="38"/>
      <c r="AR200" s="38"/>
      <c r="AS200" s="205"/>
      <c r="AT200" s="205"/>
      <c r="AU200" s="205"/>
      <c r="AV200" s="235"/>
      <c r="AW200" s="41"/>
      <c r="AX200" s="41"/>
      <c r="AY200" s="41"/>
      <c r="AZ200" s="41"/>
      <c r="BA200" s="41"/>
      <c r="BB200" s="237"/>
      <c r="BC200" s="41"/>
      <c r="BD200" s="41"/>
      <c r="BE200" s="210"/>
      <c r="BF200" s="41"/>
      <c r="BG200" s="41"/>
      <c r="BH200" s="237"/>
      <c r="BI200" s="41"/>
      <c r="BJ200" s="41"/>
      <c r="BK200" s="41"/>
      <c r="BL200" s="41"/>
      <c r="BM200" s="41"/>
      <c r="BN200" s="216"/>
      <c r="BO200" s="205"/>
      <c r="BP200" s="205"/>
      <c r="BQ200" s="205"/>
      <c r="BR200" s="205"/>
      <c r="BS200" s="205"/>
      <c r="BT200" s="216"/>
      <c r="BU200" s="205"/>
      <c r="BV200" s="205"/>
      <c r="BW200" s="205"/>
      <c r="BX200" s="205"/>
      <c r="BY200" s="205"/>
      <c r="BZ200" s="235"/>
      <c r="CA200" s="41"/>
      <c r="CB200" s="41"/>
      <c r="CC200" s="205"/>
      <c r="CD200" s="205"/>
      <c r="CE200" s="205"/>
      <c r="CF200" s="205"/>
      <c r="CG200" s="205"/>
      <c r="CH200" s="205"/>
      <c r="CI200" s="39"/>
      <c r="CJ200" s="286"/>
      <c r="CK200" s="286"/>
      <c r="CL200" s="38"/>
      <c r="CM200" s="38"/>
      <c r="CN200" s="38"/>
      <c r="CO200" s="39"/>
      <c r="CP200" s="205"/>
      <c r="CQ200" s="205"/>
      <c r="CR200" s="282"/>
      <c r="CS200" s="205"/>
      <c r="CT200" s="41"/>
      <c r="CU200" s="41"/>
      <c r="CV200" s="41"/>
      <c r="CW200" s="41"/>
      <c r="CX200" s="237"/>
      <c r="CY200" s="41"/>
      <c r="CZ200" s="41"/>
      <c r="DA200" s="41"/>
      <c r="DB200" s="41"/>
      <c r="DC200" s="41"/>
      <c r="DD200" s="237"/>
      <c r="DE200" s="41"/>
      <c r="DF200" s="39"/>
      <c r="DG200" s="39"/>
      <c r="DH200" s="39"/>
      <c r="DI200" s="39"/>
      <c r="DJ200" s="243"/>
      <c r="DK200" s="39"/>
      <c r="DL200" s="39"/>
      <c r="DM200" s="39"/>
      <c r="DN200" s="39"/>
      <c r="DO200" s="39"/>
      <c r="DP200" s="243"/>
      <c r="DQ200" s="39">
        <f>DK200+Commerical!I198</f>
        <v>208311264</v>
      </c>
      <c r="DR200" s="39">
        <f>DL200+Commerical!J198</f>
        <v>242313120</v>
      </c>
      <c r="DS200" s="39">
        <f>DM200+Commerical!K198</f>
        <v>93858912</v>
      </c>
      <c r="DT200" s="39">
        <f>DN200+Commerical!L198</f>
        <v>163876608</v>
      </c>
      <c r="DU200" s="39">
        <f>DO200+Commerical!M198</f>
        <v>150885504</v>
      </c>
      <c r="DV200" s="243">
        <f>DP200+Commerical!N198</f>
        <v>82283040</v>
      </c>
      <c r="DW200" s="138"/>
      <c r="DX200" s="39"/>
      <c r="DY200" s="38"/>
      <c r="DZ200" s="38"/>
      <c r="EA200" s="546"/>
      <c r="EB200" s="38"/>
      <c r="EC200" s="38"/>
      <c r="ED200" s="38"/>
    </row>
    <row r="201" spans="1:134" ht="12.75">
      <c r="A201" s="88" t="s">
        <v>314</v>
      </c>
      <c r="B201" s="29">
        <f>Commerical!B199</f>
        <v>0.05511463844797178</v>
      </c>
      <c r="C201" s="41"/>
      <c r="E201" s="41"/>
      <c r="F201" s="41"/>
      <c r="G201" s="235"/>
      <c r="H201" s="41"/>
      <c r="I201" s="205"/>
      <c r="J201" s="205"/>
      <c r="K201" s="205"/>
      <c r="L201" s="205"/>
      <c r="M201" s="205"/>
      <c r="N201" s="205"/>
      <c r="O201" s="205"/>
      <c r="P201" s="205"/>
      <c r="Q201" s="205"/>
      <c r="R201" s="271"/>
      <c r="S201" s="205"/>
      <c r="T201" s="205"/>
      <c r="U201" s="205"/>
      <c r="V201" s="205"/>
      <c r="W201" s="205"/>
      <c r="X201" s="216"/>
      <c r="Y201" s="205"/>
      <c r="Z201" s="205"/>
      <c r="AA201" s="205"/>
      <c r="AB201" s="205"/>
      <c r="AC201" s="38"/>
      <c r="AD201" s="41"/>
      <c r="AE201" s="616"/>
      <c r="AF201" s="205"/>
      <c r="AG201" s="205"/>
      <c r="AH201" s="205"/>
      <c r="AI201" s="205"/>
      <c r="AJ201" s="205"/>
      <c r="AK201" s="205"/>
      <c r="AL201" s="205"/>
      <c r="AM201" s="41"/>
      <c r="AN201" s="41"/>
      <c r="AO201" s="41"/>
      <c r="AP201" s="38"/>
      <c r="AQ201" s="38"/>
      <c r="AR201" s="38"/>
      <c r="AS201" s="205"/>
      <c r="AT201" s="205"/>
      <c r="AU201" s="205"/>
      <c r="AV201" s="235"/>
      <c r="AW201" s="41"/>
      <c r="AX201" s="41"/>
      <c r="AY201" s="41"/>
      <c r="AZ201" s="41"/>
      <c r="BA201" s="41"/>
      <c r="BB201" s="237"/>
      <c r="BC201" s="41"/>
      <c r="BD201" s="41"/>
      <c r="BE201" s="210"/>
      <c r="BF201" s="41"/>
      <c r="BG201" s="41"/>
      <c r="BH201" s="237"/>
      <c r="BI201" s="41"/>
      <c r="BJ201" s="41"/>
      <c r="BK201" s="41"/>
      <c r="BL201" s="41"/>
      <c r="BM201" s="41"/>
      <c r="BN201" s="216"/>
      <c r="BO201" s="205"/>
      <c r="BP201" s="205"/>
      <c r="BQ201" s="205"/>
      <c r="BR201" s="205"/>
      <c r="BS201" s="205"/>
      <c r="BT201" s="216"/>
      <c r="BU201" s="205"/>
      <c r="BV201" s="205"/>
      <c r="BW201" s="205"/>
      <c r="BX201" s="205"/>
      <c r="BY201" s="205"/>
      <c r="BZ201" s="235"/>
      <c r="CA201" s="41"/>
      <c r="CB201" s="41"/>
      <c r="CC201" s="205"/>
      <c r="CD201" s="205"/>
      <c r="CE201" s="205"/>
      <c r="CF201" s="205"/>
      <c r="CG201" s="205"/>
      <c r="CH201" s="205"/>
      <c r="CI201" s="39"/>
      <c r="CJ201" s="286"/>
      <c r="CK201" s="286"/>
      <c r="CL201" s="38"/>
      <c r="CM201" s="38"/>
      <c r="CN201" s="38"/>
      <c r="CO201" s="39"/>
      <c r="CP201" s="205"/>
      <c r="CQ201" s="205"/>
      <c r="CR201" s="282"/>
      <c r="CS201" s="205"/>
      <c r="CT201" s="41"/>
      <c r="CU201" s="41"/>
      <c r="CV201" s="41"/>
      <c r="CW201" s="41"/>
      <c r="CX201" s="237"/>
      <c r="CY201" s="41"/>
      <c r="CZ201" s="41"/>
      <c r="DA201" s="41"/>
      <c r="DB201" s="41"/>
      <c r="DC201" s="41"/>
      <c r="DD201" s="237"/>
      <c r="DE201" s="41"/>
      <c r="DF201" s="39"/>
      <c r="DG201" s="39"/>
      <c r="DH201" s="39"/>
      <c r="DI201" s="39"/>
      <c r="DJ201" s="243"/>
      <c r="DK201" s="39"/>
      <c r="DL201" s="39"/>
      <c r="DM201" s="39"/>
      <c r="DN201" s="39"/>
      <c r="DO201" s="39"/>
      <c r="DP201" s="243"/>
      <c r="DQ201" s="39">
        <f>DK201+Commerical!I199</f>
        <v>402760512</v>
      </c>
      <c r="DR201" s="39">
        <f>DL201+Commerical!J199</f>
        <v>409528224</v>
      </c>
      <c r="DS201" s="39">
        <f>DM201+Commerical!K199</f>
        <v>377885088</v>
      </c>
      <c r="DT201" s="39">
        <f>DN201+Commerical!L199</f>
        <v>416640672</v>
      </c>
      <c r="DU201" s="39">
        <f>DO201+Commerical!M199</f>
        <v>383582304</v>
      </c>
      <c r="DV201" s="243">
        <f>DP201+Commerical!N199</f>
        <v>382874688</v>
      </c>
      <c r="DW201" s="138"/>
      <c r="DX201" s="39"/>
      <c r="DY201" s="38"/>
      <c r="DZ201" s="38"/>
      <c r="EA201" s="546"/>
      <c r="EB201" s="38"/>
      <c r="EC201" s="38"/>
      <c r="ED201" s="38"/>
    </row>
    <row r="202" spans="1:134" ht="13.5">
      <c r="A202" s="88" t="s">
        <v>315</v>
      </c>
      <c r="B202" s="29">
        <f>Commerical!B200</f>
        <v>0.05511463844797178</v>
      </c>
      <c r="C202" s="41"/>
      <c r="E202" s="41"/>
      <c r="F202" s="41"/>
      <c r="G202" s="235"/>
      <c r="H202" s="41"/>
      <c r="I202" s="205"/>
      <c r="J202" s="205"/>
      <c r="K202" s="205"/>
      <c r="L202" s="205"/>
      <c r="M202" s="205"/>
      <c r="N202" s="205"/>
      <c r="O202" s="205"/>
      <c r="P202" s="205"/>
      <c r="Q202" s="205"/>
      <c r="R202" s="271"/>
      <c r="S202" s="205"/>
      <c r="T202" s="205"/>
      <c r="U202" s="205"/>
      <c r="V202" s="205"/>
      <c r="W202" s="205"/>
      <c r="X202" s="216"/>
      <c r="Y202" s="205"/>
      <c r="Z202" s="205"/>
      <c r="AA202" s="205"/>
      <c r="AB202" s="205"/>
      <c r="AC202" s="38"/>
      <c r="AD202" s="41"/>
      <c r="AE202" s="616"/>
      <c r="AF202" s="205"/>
      <c r="AG202" s="205"/>
      <c r="AH202" s="205"/>
      <c r="AI202" s="205"/>
      <c r="AJ202" s="205"/>
      <c r="AK202" s="205"/>
      <c r="AL202" s="205"/>
      <c r="AM202" s="41"/>
      <c r="AN202" s="41"/>
      <c r="AO202" s="41"/>
      <c r="AP202" s="38"/>
      <c r="AQ202" s="38"/>
      <c r="AR202" s="38"/>
      <c r="AS202" s="205"/>
      <c r="AT202" s="205"/>
      <c r="AU202" s="205"/>
      <c r="AV202" s="235"/>
      <c r="AW202" s="41"/>
      <c r="AX202" s="41"/>
      <c r="AY202" s="41"/>
      <c r="AZ202" s="41"/>
      <c r="BA202" s="41"/>
      <c r="BB202" s="237"/>
      <c r="BC202" s="41"/>
      <c r="BD202" s="41"/>
      <c r="BE202" s="210"/>
      <c r="BF202" s="41"/>
      <c r="BG202" s="41"/>
      <c r="BH202" s="237"/>
      <c r="BI202" s="41"/>
      <c r="BJ202" s="41"/>
      <c r="BK202" s="41"/>
      <c r="BL202" s="41"/>
      <c r="BM202" s="41"/>
      <c r="BN202" s="216"/>
      <c r="BO202" s="205"/>
      <c r="BP202" s="205"/>
      <c r="BQ202" s="205"/>
      <c r="BR202" s="205"/>
      <c r="BS202" s="205"/>
      <c r="BT202" s="216"/>
      <c r="BU202" s="205"/>
      <c r="BV202" s="205"/>
      <c r="BW202" s="205"/>
      <c r="BX202" s="205"/>
      <c r="BY202" s="205"/>
      <c r="BZ202" s="235"/>
      <c r="CA202" s="41"/>
      <c r="CB202" s="41"/>
      <c r="CC202" s="205"/>
      <c r="CD202" s="205"/>
      <c r="CE202" s="205"/>
      <c r="CF202" s="205"/>
      <c r="CG202" s="205"/>
      <c r="CH202" s="205"/>
      <c r="CI202" s="39"/>
      <c r="CJ202" s="286"/>
      <c r="CK202" s="286"/>
      <c r="CL202" s="38"/>
      <c r="CM202" s="38"/>
      <c r="CN202" s="38"/>
      <c r="CO202" s="39"/>
      <c r="CP202" s="205"/>
      <c r="CQ202" s="205"/>
      <c r="CR202" s="282"/>
      <c r="CS202" s="205"/>
      <c r="CT202" s="41"/>
      <c r="CU202" s="41"/>
      <c r="CV202" s="41"/>
      <c r="CW202" s="41"/>
      <c r="CX202" s="237"/>
      <c r="CY202" s="41"/>
      <c r="CZ202" s="41"/>
      <c r="DA202" s="41"/>
      <c r="DB202" s="41"/>
      <c r="DC202" s="41"/>
      <c r="DD202" s="237"/>
      <c r="DE202" s="41"/>
      <c r="DF202" s="39"/>
      <c r="DG202" s="39"/>
      <c r="DH202" s="39"/>
      <c r="DI202" s="39"/>
      <c r="DJ202" s="243"/>
      <c r="DK202" s="39"/>
      <c r="DL202" s="39"/>
      <c r="DM202" s="39"/>
      <c r="DN202" s="39"/>
      <c r="DO202" s="39"/>
      <c r="DP202" s="243"/>
      <c r="DQ202" s="39">
        <f>DK202+Commerical!I200</f>
        <v>3846491712</v>
      </c>
      <c r="DR202" s="39">
        <f>DL202+Commerical!J200</f>
        <v>3200982624</v>
      </c>
      <c r="DS202" s="39">
        <f>DM202+Commerical!K200</f>
        <v>4372758432</v>
      </c>
      <c r="DT202" s="39">
        <f>DN202+Commerical!L200</f>
        <v>3416424480</v>
      </c>
      <c r="DU202" s="39">
        <f>DO202+Commerical!M200</f>
        <v>4085194176</v>
      </c>
      <c r="DV202" s="243">
        <f>DP202+Commerical!N200</f>
        <v>4459885920</v>
      </c>
      <c r="DW202" s="520"/>
      <c r="DX202" s="39"/>
      <c r="DY202" s="38"/>
      <c r="DZ202" s="38"/>
      <c r="EA202" s="546"/>
      <c r="EB202" s="38"/>
      <c r="EC202" s="38"/>
      <c r="ED202" s="38"/>
    </row>
    <row r="203" spans="1:134" ht="13.5">
      <c r="A203" s="88" t="s">
        <v>316</v>
      </c>
      <c r="B203" s="29">
        <f>Commerical!B201</f>
        <v>0.05511463844797178</v>
      </c>
      <c r="C203" s="41"/>
      <c r="E203" s="41"/>
      <c r="F203" s="41"/>
      <c r="G203" s="235"/>
      <c r="H203" s="41"/>
      <c r="I203" s="38"/>
      <c r="J203" s="38"/>
      <c r="K203" s="38"/>
      <c r="L203" s="38"/>
      <c r="M203" s="39"/>
      <c r="N203" s="205"/>
      <c r="O203" s="205"/>
      <c r="P203" s="205"/>
      <c r="Q203" s="38"/>
      <c r="R203" s="273"/>
      <c r="S203" s="38"/>
      <c r="T203" s="38"/>
      <c r="U203" s="38"/>
      <c r="V203" s="38"/>
      <c r="W203" s="38"/>
      <c r="X203" s="238"/>
      <c r="Y203" s="38"/>
      <c r="Z203" s="38"/>
      <c r="AA203" s="38"/>
      <c r="AB203" s="38"/>
      <c r="AC203" s="38"/>
      <c r="AD203" s="41"/>
      <c r="AE203" s="616"/>
      <c r="AF203" s="38"/>
      <c r="AG203" s="38"/>
      <c r="AH203" s="38"/>
      <c r="AI203" s="38"/>
      <c r="AJ203" s="38"/>
      <c r="AK203" s="38"/>
      <c r="AL203" s="38"/>
      <c r="AM203" s="41"/>
      <c r="AN203" s="41"/>
      <c r="AO203" s="41"/>
      <c r="AP203" s="38"/>
      <c r="AQ203" s="38"/>
      <c r="AR203" s="38"/>
      <c r="AS203" s="38"/>
      <c r="AT203" s="38"/>
      <c r="AU203" s="38"/>
      <c r="AV203" s="410"/>
      <c r="AW203" s="183"/>
      <c r="AX203" s="183"/>
      <c r="AY203" s="183"/>
      <c r="AZ203" s="41"/>
      <c r="BA203" s="41"/>
      <c r="BB203" s="237"/>
      <c r="BC203" s="41"/>
      <c r="BD203" s="41"/>
      <c r="BE203" s="210"/>
      <c r="BF203" s="41"/>
      <c r="BG203" s="41"/>
      <c r="BH203" s="237"/>
      <c r="BI203" s="41"/>
      <c r="BJ203" s="41"/>
      <c r="BK203" s="41"/>
      <c r="BL203" s="41"/>
      <c r="BM203" s="41"/>
      <c r="BN203" s="238"/>
      <c r="BO203" s="38"/>
      <c r="BP203" s="38"/>
      <c r="BQ203" s="38"/>
      <c r="BR203" s="205"/>
      <c r="BS203" s="38"/>
      <c r="BT203" s="238"/>
      <c r="BU203" s="38"/>
      <c r="BV203" s="38"/>
      <c r="BW203" s="38"/>
      <c r="BX203" s="38"/>
      <c r="BY203" s="38"/>
      <c r="BZ203" s="235"/>
      <c r="CA203" s="41"/>
      <c r="CB203" s="41"/>
      <c r="CC203" s="38"/>
      <c r="CD203" s="205"/>
      <c r="CE203" s="205"/>
      <c r="CF203" s="205"/>
      <c r="CG203" s="205"/>
      <c r="CH203" s="205"/>
      <c r="CI203" s="39"/>
      <c r="CJ203" s="286"/>
      <c r="CK203" s="286"/>
      <c r="CL203" s="38"/>
      <c r="CM203" s="38"/>
      <c r="CN203" s="38"/>
      <c r="CO203" s="39"/>
      <c r="CP203" s="38"/>
      <c r="CQ203" s="38"/>
      <c r="CR203" s="259"/>
      <c r="CS203" s="38"/>
      <c r="CT203" s="183"/>
      <c r="CU203" s="41"/>
      <c r="CV203" s="41"/>
      <c r="CW203" s="41"/>
      <c r="CX203" s="237"/>
      <c r="CY203" s="41"/>
      <c r="CZ203" s="41"/>
      <c r="DA203" s="41"/>
      <c r="DB203" s="41"/>
      <c r="DC203" s="41"/>
      <c r="DD203" s="237"/>
      <c r="DE203" s="41"/>
      <c r="DF203" s="39"/>
      <c r="DG203" s="39"/>
      <c r="DH203" s="39"/>
      <c r="DI203" s="39"/>
      <c r="DJ203" s="243"/>
      <c r="DK203" s="39"/>
      <c r="DL203" s="39"/>
      <c r="DM203" s="39"/>
      <c r="DN203" s="39"/>
      <c r="DO203" s="39"/>
      <c r="DP203" s="243"/>
      <c r="DQ203" s="39">
        <f>DK203+Commerical!I201</f>
        <v>1215303264</v>
      </c>
      <c r="DR203" s="39">
        <f>DL203+Commerical!J201</f>
        <v>845964000</v>
      </c>
      <c r="DS203" s="39">
        <f>DM203+Commerical!K201</f>
        <v>617694336</v>
      </c>
      <c r="DT203" s="39">
        <f>DN203+Commerical!L201</f>
        <v>658717920</v>
      </c>
      <c r="DU203" s="39">
        <f>DO203+Commerical!M201</f>
        <v>476298144</v>
      </c>
      <c r="DV203" s="243">
        <f>DP203+Commerical!N201</f>
        <v>377286336</v>
      </c>
      <c r="DW203" s="520"/>
      <c r="DX203" s="39"/>
      <c r="DY203" s="38"/>
      <c r="DZ203" s="38"/>
      <c r="EA203" s="546"/>
      <c r="EB203" s="38"/>
      <c r="EC203" s="38"/>
      <c r="ED203" s="38"/>
    </row>
    <row r="204" spans="1:134" ht="12.75">
      <c r="A204" s="88" t="s">
        <v>317</v>
      </c>
      <c r="B204" s="29">
        <f>Commerical!B202</f>
        <v>0.05511463844797178</v>
      </c>
      <c r="C204" s="41"/>
      <c r="D204" s="41"/>
      <c r="E204" s="41"/>
      <c r="F204" s="41"/>
      <c r="G204" s="235"/>
      <c r="H204" s="41"/>
      <c r="I204" s="205"/>
      <c r="J204" s="205"/>
      <c r="K204" s="205"/>
      <c r="L204" s="205"/>
      <c r="M204" s="205"/>
      <c r="N204" s="205"/>
      <c r="O204" s="205"/>
      <c r="P204" s="205"/>
      <c r="Q204" s="205"/>
      <c r="R204" s="271"/>
      <c r="S204" s="205"/>
      <c r="T204" s="205"/>
      <c r="U204" s="205"/>
      <c r="V204" s="205"/>
      <c r="W204" s="205"/>
      <c r="X204" s="216"/>
      <c r="Y204" s="205"/>
      <c r="Z204" s="205"/>
      <c r="AA204" s="205"/>
      <c r="AB204" s="205"/>
      <c r="AC204" s="38"/>
      <c r="AD204" s="41"/>
      <c r="AE204" s="616"/>
      <c r="AF204" s="205"/>
      <c r="AG204" s="205"/>
      <c r="AH204" s="205"/>
      <c r="AI204" s="205"/>
      <c r="AJ204" s="205"/>
      <c r="AK204" s="205"/>
      <c r="AL204" s="205"/>
      <c r="AM204" s="41"/>
      <c r="AN204" s="41"/>
      <c r="AO204" s="41"/>
      <c r="AP204" s="38"/>
      <c r="AQ204" s="38"/>
      <c r="AR204" s="38"/>
      <c r="AS204" s="205"/>
      <c r="AT204" s="205"/>
      <c r="AU204" s="205"/>
      <c r="AV204" s="235"/>
      <c r="AW204" s="41"/>
      <c r="AX204" s="41"/>
      <c r="AY204" s="41"/>
      <c r="AZ204" s="41"/>
      <c r="BA204" s="41"/>
      <c r="BB204" s="237"/>
      <c r="BC204" s="41"/>
      <c r="BD204" s="41"/>
      <c r="BE204" s="210"/>
      <c r="BF204" s="41"/>
      <c r="BG204" s="41"/>
      <c r="BH204" s="237"/>
      <c r="BI204" s="41">
        <v>5673</v>
      </c>
      <c r="BJ204" s="41">
        <v>3499</v>
      </c>
      <c r="BK204" s="41">
        <v>2477</v>
      </c>
      <c r="BL204" s="397">
        <v>2572</v>
      </c>
      <c r="BM204" s="397">
        <v>3152</v>
      </c>
      <c r="BN204" s="216"/>
      <c r="BO204" s="205"/>
      <c r="BP204" s="205"/>
      <c r="BQ204" s="205"/>
      <c r="BR204" s="205"/>
      <c r="BS204" s="205"/>
      <c r="BT204" s="216"/>
      <c r="BU204" s="205"/>
      <c r="BV204" s="205"/>
      <c r="BW204" s="205"/>
      <c r="BX204" s="205"/>
      <c r="BY204" s="205"/>
      <c r="BZ204" s="235"/>
      <c r="CA204" s="41"/>
      <c r="CB204" s="41"/>
      <c r="CC204" s="205"/>
      <c r="CD204" s="205"/>
      <c r="CE204" s="205"/>
      <c r="CF204" s="205"/>
      <c r="CG204" s="205"/>
      <c r="CH204" s="205"/>
      <c r="CI204" s="39"/>
      <c r="CJ204" s="286"/>
      <c r="CK204" s="286"/>
      <c r="CL204" s="38"/>
      <c r="CM204" s="38"/>
      <c r="CN204" s="38"/>
      <c r="CO204" s="39"/>
      <c r="CP204" s="205"/>
      <c r="CQ204" s="205"/>
      <c r="CR204" s="282"/>
      <c r="CS204" s="41">
        <f aca="true" t="shared" si="262" ref="CS204:CX207">BI204+BU204</f>
        <v>5673</v>
      </c>
      <c r="CT204" s="41">
        <f t="shared" si="262"/>
        <v>3499</v>
      </c>
      <c r="CU204" s="41">
        <f t="shared" si="262"/>
        <v>2477</v>
      </c>
      <c r="CV204" s="41">
        <f t="shared" si="262"/>
        <v>2572</v>
      </c>
      <c r="CW204" s="41">
        <f t="shared" si="262"/>
        <v>3152</v>
      </c>
      <c r="CX204" s="237">
        <f t="shared" si="262"/>
        <v>0</v>
      </c>
      <c r="CY204" s="41">
        <f aca="true" t="shared" si="263" ref="CY204:CZ207">CS204*1000/0.45359237/$B204</f>
        <v>226923817.0827256</v>
      </c>
      <c r="CZ204" s="41">
        <f t="shared" si="263"/>
        <v>139962354.30503383</v>
      </c>
      <c r="DA204" s="41">
        <f aca="true" t="shared" si="264" ref="DA204:DD207">CU204*1000/0.45359237/$B204</f>
        <v>99081666.65149152</v>
      </c>
      <c r="DB204" s="41">
        <f t="shared" si="264"/>
        <v>102881730.5723198</v>
      </c>
      <c r="DC204" s="41">
        <f t="shared" si="264"/>
        <v>126082120.82579784</v>
      </c>
      <c r="DD204" s="237">
        <f t="shared" si="264"/>
        <v>0</v>
      </c>
      <c r="DE204" s="39">
        <f aca="true" t="shared" si="265" ref="DE204:DE209">AW204-CS204</f>
        <v>-5673</v>
      </c>
      <c r="DF204" s="39">
        <f aca="true" t="shared" si="266" ref="DF204:DF209">AX204-CT204</f>
        <v>-3499</v>
      </c>
      <c r="DG204" s="39">
        <f aca="true" t="shared" si="267" ref="DG204:DJ209">AY204-CU204</f>
        <v>-2477</v>
      </c>
      <c r="DH204" s="39">
        <f t="shared" si="267"/>
        <v>-2572</v>
      </c>
      <c r="DI204" s="39">
        <f t="shared" si="267"/>
        <v>-3152</v>
      </c>
      <c r="DJ204" s="243">
        <f t="shared" si="267"/>
        <v>0</v>
      </c>
      <c r="DK204" s="39">
        <f aca="true" t="shared" si="268" ref="DK204:DK209">BC204-CY204</f>
        <v>-226923817.0827256</v>
      </c>
      <c r="DL204" s="39">
        <f aca="true" t="shared" si="269" ref="DL204:DL209">BD204-CZ204</f>
        <v>-139962354.30503383</v>
      </c>
      <c r="DM204" s="39">
        <f aca="true" t="shared" si="270" ref="DM204:DP209">BE204-DA204</f>
        <v>-99081666.65149152</v>
      </c>
      <c r="DN204" s="39">
        <f t="shared" si="270"/>
        <v>-102881730.5723198</v>
      </c>
      <c r="DO204" s="39">
        <f t="shared" si="270"/>
        <v>-126082120.82579784</v>
      </c>
      <c r="DP204" s="243">
        <f t="shared" si="270"/>
        <v>0</v>
      </c>
      <c r="DQ204" s="39">
        <f>DK204+Commerical!I202</f>
        <v>-226923817.0827256</v>
      </c>
      <c r="DR204" s="39">
        <f>DL204+Commerical!J202</f>
        <v>-139962354.30503383</v>
      </c>
      <c r="DS204" s="39">
        <f>DM204+Commerical!K202</f>
        <v>-98537346.65149152</v>
      </c>
      <c r="DT204" s="39">
        <f>DN204+Commerical!L202</f>
        <v>-102845442.5723198</v>
      </c>
      <c r="DU204" s="39">
        <f>DO204+Commerical!M202</f>
        <v>-126082120.82579784</v>
      </c>
      <c r="DV204" s="243">
        <f>DP204+Commerical!N202</f>
        <v>0</v>
      </c>
      <c r="DW204" s="138"/>
      <c r="DX204" s="39"/>
      <c r="DY204" s="38"/>
      <c r="DZ204" s="38"/>
      <c r="EA204" s="546"/>
      <c r="EB204" s="38"/>
      <c r="EC204" s="38"/>
      <c r="ED204" s="38"/>
    </row>
    <row r="205" spans="1:134" ht="12.75">
      <c r="A205" s="88" t="s">
        <v>652</v>
      </c>
      <c r="B205" s="29">
        <f>SUM(Commerical!C198:H202)*1000/SUM(Commerical!I198:N202)</f>
        <v>0.05511463844797178</v>
      </c>
      <c r="C205" s="41">
        <v>224155</v>
      </c>
      <c r="D205" s="41">
        <v>226698</v>
      </c>
      <c r="E205" s="41">
        <v>222531</v>
      </c>
      <c r="F205" s="285">
        <v>245330</v>
      </c>
      <c r="G205" s="503">
        <v>236550</v>
      </c>
      <c r="H205" s="285"/>
      <c r="I205" s="41"/>
      <c r="J205" s="41"/>
      <c r="K205" s="41"/>
      <c r="L205" s="41"/>
      <c r="M205" s="41"/>
      <c r="N205" s="205"/>
      <c r="O205" s="205"/>
      <c r="P205" s="205"/>
      <c r="Q205" s="41"/>
      <c r="R205" s="272">
        <v>588316</v>
      </c>
      <c r="S205" s="41"/>
      <c r="T205" s="41"/>
      <c r="U205" s="41"/>
      <c r="V205" s="41"/>
      <c r="W205" s="41"/>
      <c r="X205" s="235"/>
      <c r="Y205" s="41">
        <v>1121</v>
      </c>
      <c r="Z205" s="41">
        <v>1547</v>
      </c>
      <c r="AA205" s="41">
        <v>1500</v>
      </c>
      <c r="AB205" s="397">
        <v>1325</v>
      </c>
      <c r="AC205" s="397">
        <v>1637</v>
      </c>
      <c r="AD205" s="41">
        <v>1983</v>
      </c>
      <c r="AE205" s="616"/>
      <c r="AF205" s="41"/>
      <c r="AG205" s="41"/>
      <c r="AH205" s="41"/>
      <c r="AI205" s="41"/>
      <c r="AJ205" s="41"/>
      <c r="AK205" s="41"/>
      <c r="AL205" s="41"/>
      <c r="AM205" s="41"/>
      <c r="AN205" s="41"/>
      <c r="AO205" s="41"/>
      <c r="AP205" s="38"/>
      <c r="AQ205" s="38"/>
      <c r="AR205" s="38"/>
      <c r="AS205" s="41"/>
      <c r="AT205" s="41"/>
      <c r="AU205" s="41"/>
      <c r="AV205" s="235"/>
      <c r="AW205" s="41">
        <f aca="true" t="shared" si="271" ref="AW205:BA209">C205+Y205</f>
        <v>225276</v>
      </c>
      <c r="AX205" s="41">
        <f t="shared" si="271"/>
        <v>228245</v>
      </c>
      <c r="AY205" s="41">
        <f t="shared" si="271"/>
        <v>224031</v>
      </c>
      <c r="AZ205" s="41">
        <f t="shared" si="271"/>
        <v>246655</v>
      </c>
      <c r="BA205" s="41">
        <f t="shared" si="271"/>
        <v>238187</v>
      </c>
      <c r="BB205" s="237">
        <f>R205+AD205</f>
        <v>590299</v>
      </c>
      <c r="BC205" s="41">
        <f aca="true" t="shared" si="272" ref="BC205:BD209">AW205*1000/0.45359237/$B205</f>
        <v>9011191577.142271</v>
      </c>
      <c r="BD205" s="41">
        <f t="shared" si="272"/>
        <v>9129953574.836367</v>
      </c>
      <c r="BE205" s="41">
        <f aca="true" t="shared" si="273" ref="BE205:BH209">AY205*1000/0.45359237/$B205</f>
        <v>8961390739.442993</v>
      </c>
      <c r="BF205" s="41">
        <f t="shared" si="273"/>
        <v>9866365962.020039</v>
      </c>
      <c r="BG205" s="41">
        <f t="shared" si="273"/>
        <v>9527640264.319262</v>
      </c>
      <c r="BH205" s="237">
        <f t="shared" si="273"/>
        <v>23612357183.168667</v>
      </c>
      <c r="BI205" s="41">
        <v>1846</v>
      </c>
      <c r="BJ205" s="41">
        <v>1385</v>
      </c>
      <c r="BK205" s="41">
        <v>1799</v>
      </c>
      <c r="BL205" s="397">
        <v>2133</v>
      </c>
      <c r="BM205" s="397">
        <v>2300</v>
      </c>
      <c r="BN205" s="235">
        <v>7948</v>
      </c>
      <c r="BO205" s="41"/>
      <c r="BP205" s="41"/>
      <c r="BQ205" s="41"/>
      <c r="BR205" s="205"/>
      <c r="BS205" s="41"/>
      <c r="BT205" s="235"/>
      <c r="BU205" s="41">
        <v>31</v>
      </c>
      <c r="BV205" s="205">
        <v>170</v>
      </c>
      <c r="BW205" s="41">
        <v>1626</v>
      </c>
      <c r="BX205" s="401">
        <v>1731</v>
      </c>
      <c r="BY205" s="401">
        <v>1277</v>
      </c>
      <c r="BZ205" s="235">
        <v>623</v>
      </c>
      <c r="CA205" s="41"/>
      <c r="CB205" s="41"/>
      <c r="CC205" s="41"/>
      <c r="CD205" s="205"/>
      <c r="CE205" s="205"/>
      <c r="CF205" s="205"/>
      <c r="CG205" s="205"/>
      <c r="CH205" s="205"/>
      <c r="CI205" s="39"/>
      <c r="CJ205" s="286"/>
      <c r="CK205" s="286"/>
      <c r="CL205" s="38"/>
      <c r="CM205" s="38"/>
      <c r="CN205" s="38"/>
      <c r="CO205" s="39"/>
      <c r="CP205" s="41"/>
      <c r="CQ205" s="41"/>
      <c r="CR205" s="237"/>
      <c r="CS205" s="41">
        <f t="shared" si="262"/>
        <v>1877</v>
      </c>
      <c r="CT205" s="41">
        <f t="shared" si="262"/>
        <v>1555</v>
      </c>
      <c r="CU205" s="41">
        <f t="shared" si="262"/>
        <v>3425</v>
      </c>
      <c r="CV205" s="41">
        <f t="shared" si="262"/>
        <v>3864</v>
      </c>
      <c r="CW205" s="41">
        <f t="shared" si="262"/>
        <v>3577</v>
      </c>
      <c r="CX205" s="237">
        <f t="shared" si="262"/>
        <v>8571</v>
      </c>
      <c r="CY205" s="41">
        <f t="shared" si="263"/>
        <v>75081262.940997</v>
      </c>
      <c r="CZ205" s="41">
        <f t="shared" si="263"/>
        <v>62201046.28303161</v>
      </c>
      <c r="DA205" s="41">
        <f t="shared" si="264"/>
        <v>137002304.51407284</v>
      </c>
      <c r="DB205" s="41">
        <f t="shared" si="264"/>
        <v>154562599.89558467</v>
      </c>
      <c r="DC205" s="41">
        <f t="shared" si="264"/>
        <v>143082406.78739813</v>
      </c>
      <c r="DD205" s="237">
        <f t="shared" si="264"/>
        <v>342845767.0044141</v>
      </c>
      <c r="DE205" s="39">
        <f t="shared" si="265"/>
        <v>223399</v>
      </c>
      <c r="DF205" s="39">
        <f t="shared" si="266"/>
        <v>226690</v>
      </c>
      <c r="DG205" s="39">
        <f t="shared" si="267"/>
        <v>220606</v>
      </c>
      <c r="DH205" s="39">
        <f t="shared" si="267"/>
        <v>242791</v>
      </c>
      <c r="DI205" s="39">
        <f t="shared" si="267"/>
        <v>234610</v>
      </c>
      <c r="DJ205" s="243">
        <f t="shared" si="267"/>
        <v>581728</v>
      </c>
      <c r="DK205" s="39">
        <f t="shared" si="268"/>
        <v>8936110314.201275</v>
      </c>
      <c r="DL205" s="39">
        <f t="shared" si="269"/>
        <v>9067752528.553335</v>
      </c>
      <c r="DM205" s="39">
        <f t="shared" si="270"/>
        <v>8824388434.92892</v>
      </c>
      <c r="DN205" s="39">
        <f t="shared" si="270"/>
        <v>9711803362.124454</v>
      </c>
      <c r="DO205" s="39">
        <f t="shared" si="270"/>
        <v>9384557857.531864</v>
      </c>
      <c r="DP205" s="243">
        <f t="shared" si="270"/>
        <v>23269511416.164253</v>
      </c>
      <c r="DQ205" s="39">
        <f>DK205+Commerical!I203</f>
        <v>8936110314.201275</v>
      </c>
      <c r="DR205" s="39">
        <f>DL205+Commerical!J203</f>
        <v>9067752528.553335</v>
      </c>
      <c r="DS205" s="39">
        <f>DM205+Commerical!K203</f>
        <v>8824388434.92892</v>
      </c>
      <c r="DT205" s="39">
        <f>DN205+Commerical!L203</f>
        <v>9711803362.124454</v>
      </c>
      <c r="DU205" s="39">
        <f>DO205+Commerical!M203</f>
        <v>9384557857.531864</v>
      </c>
      <c r="DV205" s="243">
        <f>DP205+Commerical!N203</f>
        <v>23269511416.164253</v>
      </c>
      <c r="DW205" s="138"/>
      <c r="DX205" s="39"/>
      <c r="DY205" s="38"/>
      <c r="DZ205" s="38"/>
      <c r="EA205" s="546"/>
      <c r="EB205" s="213"/>
      <c r="EC205" s="38"/>
      <c r="ED205" s="38"/>
    </row>
    <row r="206" spans="1:134" ht="13.5">
      <c r="A206" s="88" t="s">
        <v>750</v>
      </c>
      <c r="B206" s="29">
        <f>B205</f>
        <v>0.05511463844797178</v>
      </c>
      <c r="C206" s="41">
        <v>208282</v>
      </c>
      <c r="D206" s="41">
        <v>189905</v>
      </c>
      <c r="E206" s="41">
        <v>185831</v>
      </c>
      <c r="F206" s="285">
        <v>184827</v>
      </c>
      <c r="G206" s="503">
        <v>179893</v>
      </c>
      <c r="H206" s="285"/>
      <c r="I206" s="41"/>
      <c r="J206" s="41"/>
      <c r="K206" s="41"/>
      <c r="L206" s="41"/>
      <c r="M206" s="41"/>
      <c r="N206" s="205"/>
      <c r="O206" s="205"/>
      <c r="P206" s="205"/>
      <c r="Q206" s="41"/>
      <c r="R206" s="272"/>
      <c r="S206" s="41"/>
      <c r="T206" s="41"/>
      <c r="U206" s="41"/>
      <c r="V206" s="41"/>
      <c r="W206" s="41"/>
      <c r="X206" s="235"/>
      <c r="Y206" s="41"/>
      <c r="Z206" s="41"/>
      <c r="AA206" s="41"/>
      <c r="AB206" s="41"/>
      <c r="AC206" s="38"/>
      <c r="AD206" s="41"/>
      <c r="AE206" s="616"/>
      <c r="AF206" s="41"/>
      <c r="AG206" s="41"/>
      <c r="AH206" s="41"/>
      <c r="AI206" s="41"/>
      <c r="AJ206" s="41"/>
      <c r="AK206" s="41"/>
      <c r="AL206" s="41"/>
      <c r="AM206" s="41"/>
      <c r="AN206" s="41"/>
      <c r="AO206" s="41"/>
      <c r="AP206" s="38"/>
      <c r="AQ206" s="38"/>
      <c r="AR206" s="38"/>
      <c r="AS206" s="41"/>
      <c r="AT206" s="41"/>
      <c r="AU206" s="41"/>
      <c r="AV206" s="235"/>
      <c r="AW206" s="41">
        <f t="shared" si="271"/>
        <v>208282</v>
      </c>
      <c r="AX206" s="41">
        <f t="shared" si="271"/>
        <v>189905</v>
      </c>
      <c r="AY206" s="41">
        <f t="shared" si="271"/>
        <v>185831</v>
      </c>
      <c r="AZ206" s="41">
        <f t="shared" si="271"/>
        <v>184827</v>
      </c>
      <c r="BA206" s="41">
        <f t="shared" si="271"/>
        <v>179893</v>
      </c>
      <c r="BB206" s="237">
        <f>R206+AD206</f>
        <v>0</v>
      </c>
      <c r="BC206" s="41">
        <f t="shared" si="272"/>
        <v>8331420142.7153635</v>
      </c>
      <c r="BD206" s="41">
        <f t="shared" si="272"/>
        <v>7596327777.735767</v>
      </c>
      <c r="BE206" s="41">
        <f t="shared" si="273"/>
        <v>7433365036.541511</v>
      </c>
      <c r="BF206" s="41">
        <f t="shared" si="273"/>
        <v>7393204360.999282</v>
      </c>
      <c r="BG206" s="41">
        <f t="shared" si="273"/>
        <v>7195841041.153316</v>
      </c>
      <c r="BH206" s="237">
        <f t="shared" si="273"/>
        <v>0</v>
      </c>
      <c r="BI206" s="41">
        <v>2641</v>
      </c>
      <c r="BJ206" s="41">
        <v>1362</v>
      </c>
      <c r="BK206" s="41">
        <v>1758</v>
      </c>
      <c r="BL206" s="397">
        <v>1520</v>
      </c>
      <c r="BM206" s="397">
        <v>1585</v>
      </c>
      <c r="BN206" s="235"/>
      <c r="BO206" s="41"/>
      <c r="BP206" s="41"/>
      <c r="BQ206" s="41"/>
      <c r="BR206" s="205"/>
      <c r="BS206" s="41"/>
      <c r="BT206" s="235"/>
      <c r="BU206" s="41"/>
      <c r="BV206" s="41"/>
      <c r="BW206" s="41"/>
      <c r="BX206" s="41"/>
      <c r="BY206" s="41"/>
      <c r="BZ206" s="235"/>
      <c r="CA206" s="41"/>
      <c r="CB206" s="41"/>
      <c r="CC206" s="41"/>
      <c r="CD206" s="205"/>
      <c r="CE206" s="205"/>
      <c r="CF206" s="205"/>
      <c r="CG206" s="205"/>
      <c r="CH206" s="205"/>
      <c r="CI206" s="39"/>
      <c r="CJ206" s="286"/>
      <c r="CK206" s="286"/>
      <c r="CL206" s="38"/>
      <c r="CM206" s="38"/>
      <c r="CN206" s="38"/>
      <c r="CO206" s="39"/>
      <c r="CP206" s="41"/>
      <c r="CQ206" s="41"/>
      <c r="CR206" s="237"/>
      <c r="CS206" s="41">
        <f t="shared" si="262"/>
        <v>2641</v>
      </c>
      <c r="CT206" s="41">
        <f t="shared" si="262"/>
        <v>1362</v>
      </c>
      <c r="CU206" s="41">
        <f t="shared" si="262"/>
        <v>1758</v>
      </c>
      <c r="CV206" s="41">
        <f t="shared" si="262"/>
        <v>1520</v>
      </c>
      <c r="CW206" s="41">
        <f t="shared" si="262"/>
        <v>1585</v>
      </c>
      <c r="CX206" s="237">
        <f t="shared" si="262"/>
        <v>0</v>
      </c>
      <c r="CY206" s="41">
        <f t="shared" si="263"/>
        <v>105641776.99902669</v>
      </c>
      <c r="CZ206" s="41">
        <f t="shared" si="263"/>
        <v>54480916.42282255</v>
      </c>
      <c r="DA206" s="41">
        <f t="shared" si="264"/>
        <v>70321182.87174892</v>
      </c>
      <c r="DB206" s="41">
        <f t="shared" si="264"/>
        <v>60801022.73325277</v>
      </c>
      <c r="DC206" s="41">
        <f t="shared" si="264"/>
        <v>63401066.46855634</v>
      </c>
      <c r="DD206" s="237">
        <f t="shared" si="264"/>
        <v>0</v>
      </c>
      <c r="DE206" s="39">
        <f t="shared" si="265"/>
        <v>205641</v>
      </c>
      <c r="DF206" s="39">
        <f t="shared" si="266"/>
        <v>188543</v>
      </c>
      <c r="DG206" s="39">
        <f t="shared" si="267"/>
        <v>184073</v>
      </c>
      <c r="DH206" s="39">
        <f t="shared" si="267"/>
        <v>183307</v>
      </c>
      <c r="DI206" s="39">
        <f t="shared" si="267"/>
        <v>178308</v>
      </c>
      <c r="DJ206" s="243">
        <f t="shared" si="267"/>
        <v>0</v>
      </c>
      <c r="DK206" s="39">
        <f t="shared" si="268"/>
        <v>8225778365.716337</v>
      </c>
      <c r="DL206" s="39">
        <f t="shared" si="269"/>
        <v>7541846861.312944</v>
      </c>
      <c r="DM206" s="39">
        <f t="shared" si="270"/>
        <v>7363043853.669762</v>
      </c>
      <c r="DN206" s="39">
        <f t="shared" si="270"/>
        <v>7332403338.266029</v>
      </c>
      <c r="DO206" s="39">
        <f t="shared" si="270"/>
        <v>7132439974.684759</v>
      </c>
      <c r="DP206" s="243">
        <f t="shared" si="270"/>
        <v>0</v>
      </c>
      <c r="DQ206" s="39">
        <f>DK206+Commerical!I204</f>
        <v>8225778365.716337</v>
      </c>
      <c r="DR206" s="39">
        <f>DL206+Commerical!J204</f>
        <v>7541846861.312944</v>
      </c>
      <c r="DS206" s="39">
        <f>DM206+Commerical!K204</f>
        <v>7363043853.669762</v>
      </c>
      <c r="DT206" s="39">
        <f>DN206+Commerical!L204</f>
        <v>7332403338.266029</v>
      </c>
      <c r="DU206" s="39">
        <f>DO206+Commerical!M204</f>
        <v>7132439974.684759</v>
      </c>
      <c r="DV206" s="243">
        <f>DP206+Commerical!N204</f>
        <v>0</v>
      </c>
      <c r="DW206" s="520"/>
      <c r="DX206" s="39"/>
      <c r="DY206" s="38"/>
      <c r="DZ206" s="38"/>
      <c r="EA206" s="546"/>
      <c r="EB206" s="39"/>
      <c r="EC206" s="38"/>
      <c r="ED206" s="38"/>
    </row>
    <row r="207" spans="1:134" ht="12.75">
      <c r="A207" s="88" t="s">
        <v>751</v>
      </c>
      <c r="B207" s="29">
        <f>B205</f>
        <v>0.05511463844797178</v>
      </c>
      <c r="C207" s="41">
        <v>97686</v>
      </c>
      <c r="D207" s="41">
        <v>98876</v>
      </c>
      <c r="E207" s="41">
        <v>101250</v>
      </c>
      <c r="F207" s="285">
        <v>94890</v>
      </c>
      <c r="G207" s="503">
        <v>102365</v>
      </c>
      <c r="H207" s="285"/>
      <c r="I207" s="41"/>
      <c r="J207" s="41"/>
      <c r="K207" s="41"/>
      <c r="L207" s="41"/>
      <c r="M207" s="41"/>
      <c r="N207" s="205"/>
      <c r="O207" s="205"/>
      <c r="P207" s="205"/>
      <c r="Q207" s="41"/>
      <c r="R207" s="272"/>
      <c r="S207" s="41"/>
      <c r="T207" s="41"/>
      <c r="U207" s="41"/>
      <c r="V207" s="41"/>
      <c r="W207" s="41"/>
      <c r="X207" s="235"/>
      <c r="Y207" s="41"/>
      <c r="Z207" s="41"/>
      <c r="AA207" s="41"/>
      <c r="AB207" s="41"/>
      <c r="AC207" s="38"/>
      <c r="AD207" s="41"/>
      <c r="AE207" s="616"/>
      <c r="AF207" s="41"/>
      <c r="AG207" s="41"/>
      <c r="AH207" s="41"/>
      <c r="AI207" s="41"/>
      <c r="AJ207" s="41"/>
      <c r="AK207" s="41"/>
      <c r="AL207" s="41"/>
      <c r="AM207" s="41"/>
      <c r="AN207" s="41"/>
      <c r="AO207" s="41"/>
      <c r="AP207" s="38"/>
      <c r="AQ207" s="38"/>
      <c r="AR207" s="38"/>
      <c r="AS207" s="41"/>
      <c r="AT207" s="41"/>
      <c r="AU207" s="41"/>
      <c r="AV207" s="235"/>
      <c r="AW207" s="41">
        <f t="shared" si="271"/>
        <v>97686</v>
      </c>
      <c r="AX207" s="41">
        <f t="shared" si="271"/>
        <v>98876</v>
      </c>
      <c r="AY207" s="41">
        <f t="shared" si="271"/>
        <v>101250</v>
      </c>
      <c r="AZ207" s="41">
        <f t="shared" si="271"/>
        <v>94890</v>
      </c>
      <c r="BA207" s="41">
        <f t="shared" si="271"/>
        <v>102365</v>
      </c>
      <c r="BB207" s="237">
        <f>R207+AD207</f>
        <v>0</v>
      </c>
      <c r="BC207" s="41">
        <f t="shared" si="272"/>
        <v>3907505728.105612</v>
      </c>
      <c r="BD207" s="41">
        <f t="shared" si="272"/>
        <v>3955106528.7980924</v>
      </c>
      <c r="BE207" s="41">
        <f t="shared" si="273"/>
        <v>4050068126.1459494</v>
      </c>
      <c r="BF207" s="41">
        <f t="shared" si="273"/>
        <v>3795663846.8147073</v>
      </c>
      <c r="BG207" s="41">
        <f t="shared" si="273"/>
        <v>4094668876.374618</v>
      </c>
      <c r="BH207" s="237">
        <f t="shared" si="273"/>
        <v>0</v>
      </c>
      <c r="BI207" s="41">
        <v>883</v>
      </c>
      <c r="BJ207" s="41">
        <v>1068</v>
      </c>
      <c r="BK207" s="41">
        <v>1165</v>
      </c>
      <c r="BL207" s="397">
        <v>3077</v>
      </c>
      <c r="BM207" s="397">
        <v>1667</v>
      </c>
      <c r="BN207" s="235"/>
      <c r="BO207" s="41"/>
      <c r="BP207" s="41"/>
      <c r="BQ207" s="41"/>
      <c r="BR207" s="205"/>
      <c r="BS207" s="41"/>
      <c r="BT207" s="235"/>
      <c r="BU207" s="41"/>
      <c r="BV207" s="41"/>
      <c r="BW207" s="41"/>
      <c r="BX207" s="41"/>
      <c r="BY207" s="41"/>
      <c r="BZ207" s="235"/>
      <c r="CA207" s="41"/>
      <c r="CB207" s="41"/>
      <c r="CC207" s="41"/>
      <c r="CD207" s="205"/>
      <c r="CE207" s="205"/>
      <c r="CF207" s="205"/>
      <c r="CG207" s="205"/>
      <c r="CH207" s="205"/>
      <c r="CI207" s="39"/>
      <c r="CJ207" s="41"/>
      <c r="CK207" s="41"/>
      <c r="CL207" s="38"/>
      <c r="CM207" s="38"/>
      <c r="CN207" s="38"/>
      <c r="CO207" s="39"/>
      <c r="CP207" s="41"/>
      <c r="CQ207" s="41"/>
      <c r="CR207" s="237"/>
      <c r="CS207" s="41">
        <f t="shared" si="262"/>
        <v>883</v>
      </c>
      <c r="CT207" s="41">
        <f t="shared" si="262"/>
        <v>1068</v>
      </c>
      <c r="CU207" s="41">
        <f t="shared" si="262"/>
        <v>1165</v>
      </c>
      <c r="CV207" s="41">
        <f t="shared" si="262"/>
        <v>3077</v>
      </c>
      <c r="CW207" s="41">
        <f t="shared" si="262"/>
        <v>1667</v>
      </c>
      <c r="CX207" s="237">
        <f t="shared" si="262"/>
        <v>0</v>
      </c>
      <c r="CY207" s="41">
        <f t="shared" si="263"/>
        <v>35320594.127277754</v>
      </c>
      <c r="CZ207" s="41">
        <f t="shared" si="263"/>
        <v>42720718.60468023</v>
      </c>
      <c r="DA207" s="41">
        <f t="shared" si="264"/>
        <v>46600783.87121018</v>
      </c>
      <c r="DB207" s="41">
        <f t="shared" si="264"/>
        <v>123082070.36198604</v>
      </c>
      <c r="DC207" s="41">
        <f t="shared" si="264"/>
        <v>66681121.64232392</v>
      </c>
      <c r="DD207" s="237">
        <f t="shared" si="264"/>
        <v>0</v>
      </c>
      <c r="DE207" s="39">
        <f t="shared" si="265"/>
        <v>96803</v>
      </c>
      <c r="DF207" s="39">
        <f t="shared" si="266"/>
        <v>97808</v>
      </c>
      <c r="DG207" s="39">
        <f t="shared" si="267"/>
        <v>100085</v>
      </c>
      <c r="DH207" s="39">
        <f t="shared" si="267"/>
        <v>91813</v>
      </c>
      <c r="DI207" s="39">
        <f t="shared" si="267"/>
        <v>100698</v>
      </c>
      <c r="DJ207" s="243">
        <f t="shared" si="267"/>
        <v>0</v>
      </c>
      <c r="DK207" s="39">
        <f t="shared" si="268"/>
        <v>3872185133.978334</v>
      </c>
      <c r="DL207" s="39">
        <f t="shared" si="269"/>
        <v>3912385810.1934123</v>
      </c>
      <c r="DM207" s="39">
        <f t="shared" si="270"/>
        <v>4003467342.2747393</v>
      </c>
      <c r="DN207" s="39">
        <f t="shared" si="270"/>
        <v>3672581776.452721</v>
      </c>
      <c r="DO207" s="39">
        <f t="shared" si="270"/>
        <v>4027987754.732294</v>
      </c>
      <c r="DP207" s="243">
        <f t="shared" si="270"/>
        <v>0</v>
      </c>
      <c r="DQ207" s="39">
        <f>DK207+Commerical!I205</f>
        <v>3872185133.978334</v>
      </c>
      <c r="DR207" s="39">
        <f>DL207+Commerical!J205</f>
        <v>3912385810.1934123</v>
      </c>
      <c r="DS207" s="39">
        <f>DM207+Commerical!K205</f>
        <v>4003467342.2747393</v>
      </c>
      <c r="DT207" s="39">
        <f>DN207+Commerical!L205</f>
        <v>3672581776.452721</v>
      </c>
      <c r="DU207" s="39">
        <f>DO207+Commerical!M205</f>
        <v>4027987754.732294</v>
      </c>
      <c r="DV207" s="243">
        <f>DP207+Commerical!N205</f>
        <v>0</v>
      </c>
      <c r="DW207" s="138"/>
      <c r="DX207" s="39"/>
      <c r="DY207" s="38"/>
      <c r="DZ207" s="38"/>
      <c r="EA207" s="546"/>
      <c r="EB207" s="39"/>
      <c r="EC207" s="38"/>
      <c r="ED207" s="38"/>
    </row>
    <row r="208" spans="1:134" ht="12.75">
      <c r="A208" s="88" t="s">
        <v>752</v>
      </c>
      <c r="B208" s="29">
        <f>B205</f>
        <v>0.05511463844797178</v>
      </c>
      <c r="C208" s="41">
        <v>43866</v>
      </c>
      <c r="D208" s="41">
        <v>41576</v>
      </c>
      <c r="E208" s="41">
        <v>37427</v>
      </c>
      <c r="F208" s="285">
        <v>37868</v>
      </c>
      <c r="G208" s="503">
        <v>36491</v>
      </c>
      <c r="H208" s="285"/>
      <c r="I208" s="41"/>
      <c r="J208" s="41"/>
      <c r="K208" s="41"/>
      <c r="L208" s="41"/>
      <c r="M208" s="41"/>
      <c r="N208" s="205"/>
      <c r="O208" s="205"/>
      <c r="P208" s="205"/>
      <c r="Q208" s="41"/>
      <c r="R208" s="272"/>
      <c r="S208" s="41"/>
      <c r="T208" s="41"/>
      <c r="U208" s="41"/>
      <c r="V208" s="41"/>
      <c r="W208" s="41"/>
      <c r="X208" s="235"/>
      <c r="Y208" s="41"/>
      <c r="Z208" s="41"/>
      <c r="AA208" s="41"/>
      <c r="AB208" s="41"/>
      <c r="AC208" s="38"/>
      <c r="AD208" s="41"/>
      <c r="AE208" s="616"/>
      <c r="AF208" s="41"/>
      <c r="AG208" s="41"/>
      <c r="AH208" s="41"/>
      <c r="AI208" s="41"/>
      <c r="AJ208" s="41"/>
      <c r="AK208" s="41"/>
      <c r="AL208" s="41"/>
      <c r="AM208" s="41"/>
      <c r="AN208" s="41"/>
      <c r="AO208" s="41"/>
      <c r="AP208" s="38"/>
      <c r="AQ208" s="38"/>
      <c r="AR208" s="38"/>
      <c r="AS208" s="41"/>
      <c r="AT208" s="41"/>
      <c r="AU208" s="41"/>
      <c r="AV208" s="235"/>
      <c r="AW208" s="41">
        <f t="shared" si="271"/>
        <v>43866</v>
      </c>
      <c r="AX208" s="41">
        <f t="shared" si="271"/>
        <v>41576</v>
      </c>
      <c r="AY208" s="41">
        <f t="shared" si="271"/>
        <v>37427</v>
      </c>
      <c r="AZ208" s="41">
        <f t="shared" si="271"/>
        <v>37868</v>
      </c>
      <c r="BA208" s="41">
        <f t="shared" si="271"/>
        <v>36491</v>
      </c>
      <c r="BB208" s="237">
        <f>R208+AD208</f>
        <v>0</v>
      </c>
      <c r="BC208" s="41">
        <f t="shared" si="272"/>
        <v>1754669515.2742538</v>
      </c>
      <c r="BD208" s="41">
        <f t="shared" si="272"/>
        <v>1663067974.4458663</v>
      </c>
      <c r="BE208" s="41">
        <f t="shared" si="273"/>
        <v>1497105182.7877967</v>
      </c>
      <c r="BF208" s="41">
        <f t="shared" si="273"/>
        <v>1514745479.5150104</v>
      </c>
      <c r="BG208" s="41">
        <f t="shared" si="273"/>
        <v>1459664552.9994256</v>
      </c>
      <c r="BH208" s="237">
        <f t="shared" si="273"/>
        <v>0</v>
      </c>
      <c r="BI208" s="41"/>
      <c r="BJ208" s="41"/>
      <c r="BN208" s="235"/>
      <c r="BO208" s="41"/>
      <c r="BP208" s="41"/>
      <c r="BQ208" s="41"/>
      <c r="BR208" s="205"/>
      <c r="BT208" s="235"/>
      <c r="BU208" s="41"/>
      <c r="BV208" s="41"/>
      <c r="BW208" s="41"/>
      <c r="BX208" s="41"/>
      <c r="BY208" s="41"/>
      <c r="BZ208" s="235"/>
      <c r="CA208" s="41"/>
      <c r="CB208" s="41"/>
      <c r="CC208" s="41"/>
      <c r="CD208" s="205"/>
      <c r="CE208" s="205"/>
      <c r="CF208" s="205"/>
      <c r="CG208" s="205"/>
      <c r="CH208" s="205"/>
      <c r="CI208" s="39"/>
      <c r="CJ208" s="41"/>
      <c r="CK208" s="41"/>
      <c r="CL208" s="38"/>
      <c r="CM208" s="38"/>
      <c r="CN208" s="38"/>
      <c r="CO208" s="39"/>
      <c r="CP208" s="41"/>
      <c r="CQ208" s="41"/>
      <c r="CR208" s="237"/>
      <c r="CS208" s="41"/>
      <c r="CT208" s="41"/>
      <c r="CU208" s="41"/>
      <c r="CV208" s="41"/>
      <c r="CW208" s="41"/>
      <c r="CX208" s="237"/>
      <c r="CY208" s="41"/>
      <c r="CZ208" s="41"/>
      <c r="DA208" s="41"/>
      <c r="DB208" s="41"/>
      <c r="DC208" s="41"/>
      <c r="DD208" s="237"/>
      <c r="DE208" s="39">
        <f t="shared" si="265"/>
        <v>43866</v>
      </c>
      <c r="DF208" s="39">
        <f t="shared" si="266"/>
        <v>41576</v>
      </c>
      <c r="DG208" s="39">
        <f t="shared" si="267"/>
        <v>37427</v>
      </c>
      <c r="DH208" s="39">
        <f t="shared" si="267"/>
        <v>37868</v>
      </c>
      <c r="DI208" s="39">
        <f t="shared" si="267"/>
        <v>36491</v>
      </c>
      <c r="DJ208" s="243">
        <f t="shared" si="267"/>
        <v>0</v>
      </c>
      <c r="DK208" s="39">
        <f t="shared" si="268"/>
        <v>1754669515.2742538</v>
      </c>
      <c r="DL208" s="39">
        <f t="shared" si="269"/>
        <v>1663067974.4458663</v>
      </c>
      <c r="DM208" s="39">
        <f t="shared" si="270"/>
        <v>1497105182.7877967</v>
      </c>
      <c r="DN208" s="39">
        <f t="shared" si="270"/>
        <v>1514745479.5150104</v>
      </c>
      <c r="DO208" s="39">
        <f t="shared" si="270"/>
        <v>1459664552.9994256</v>
      </c>
      <c r="DP208" s="243">
        <f t="shared" si="270"/>
        <v>0</v>
      </c>
      <c r="DQ208" s="39">
        <f>DK208+Commerical!I206</f>
        <v>1754669515.2742538</v>
      </c>
      <c r="DR208" s="39">
        <f>DL208+Commerical!J206</f>
        <v>1663067974.4458663</v>
      </c>
      <c r="DS208" s="39">
        <f>DM208+Commerical!K206</f>
        <v>1497105182.7877967</v>
      </c>
      <c r="DT208" s="39">
        <f>DN208+Commerical!L206</f>
        <v>1514745479.5150104</v>
      </c>
      <c r="DU208" s="39">
        <f>DO208+Commerical!M206</f>
        <v>1459664552.9994256</v>
      </c>
      <c r="DV208" s="243">
        <f>DP208+Commerical!N206</f>
        <v>0</v>
      </c>
      <c r="DW208" s="138"/>
      <c r="DX208" s="213"/>
      <c r="DY208" s="38"/>
      <c r="DZ208" s="38"/>
      <c r="EA208" s="547"/>
      <c r="EB208" s="39"/>
      <c r="EC208" s="38"/>
      <c r="ED208" s="38"/>
    </row>
    <row r="209" spans="1:134" ht="12.75">
      <c r="A209" s="88" t="s">
        <v>707</v>
      </c>
      <c r="B209" s="29">
        <f>'Ave weights'!Q159</f>
        <v>0.05206666666666667</v>
      </c>
      <c r="C209" s="41">
        <v>144</v>
      </c>
      <c r="D209" s="41">
        <v>128</v>
      </c>
      <c r="E209" s="41">
        <v>137</v>
      </c>
      <c r="F209" s="398">
        <v>378</v>
      </c>
      <c r="G209" s="494">
        <v>230</v>
      </c>
      <c r="H209" s="401"/>
      <c r="I209" s="41"/>
      <c r="J209" s="41"/>
      <c r="K209" s="41"/>
      <c r="L209" s="41"/>
      <c r="M209" s="41"/>
      <c r="N209" s="205"/>
      <c r="O209" s="205"/>
      <c r="P209" s="205"/>
      <c r="Q209" s="41"/>
      <c r="R209" s="272">
        <v>185</v>
      </c>
      <c r="S209" s="41"/>
      <c r="T209" s="41"/>
      <c r="U209" s="41"/>
      <c r="V209" s="41"/>
      <c r="W209" s="41"/>
      <c r="X209" s="235"/>
      <c r="Y209" s="41">
        <v>515</v>
      </c>
      <c r="Z209" s="41">
        <v>642</v>
      </c>
      <c r="AA209" s="41">
        <v>463</v>
      </c>
      <c r="AB209" s="398">
        <v>632</v>
      </c>
      <c r="AC209" s="398">
        <v>657</v>
      </c>
      <c r="AD209" s="41">
        <v>611</v>
      </c>
      <c r="AE209" s="616"/>
      <c r="AF209" s="41"/>
      <c r="AG209" s="41"/>
      <c r="AH209" s="41"/>
      <c r="AI209" s="41"/>
      <c r="AJ209" s="41"/>
      <c r="AK209" s="41"/>
      <c r="AL209" s="41"/>
      <c r="AM209" s="41"/>
      <c r="AN209" s="41"/>
      <c r="AO209" s="41"/>
      <c r="AP209" s="38"/>
      <c r="AQ209" s="38"/>
      <c r="AR209" s="38"/>
      <c r="AS209" s="41"/>
      <c r="AT209" s="41"/>
      <c r="AU209" s="41"/>
      <c r="AV209" s="235"/>
      <c r="AW209" s="41">
        <f t="shared" si="271"/>
        <v>659</v>
      </c>
      <c r="AX209" s="41">
        <f t="shared" si="271"/>
        <v>770</v>
      </c>
      <c r="AY209" s="41">
        <f t="shared" si="271"/>
        <v>600</v>
      </c>
      <c r="AZ209" s="41">
        <f t="shared" si="271"/>
        <v>1010</v>
      </c>
      <c r="BA209" s="41">
        <f t="shared" si="271"/>
        <v>887</v>
      </c>
      <c r="BB209" s="237">
        <f>R209+AD209</f>
        <v>796</v>
      </c>
      <c r="BC209" s="41">
        <f t="shared" si="272"/>
        <v>27903578.254769713</v>
      </c>
      <c r="BD209" s="41">
        <f t="shared" si="272"/>
        <v>32603573.985087525</v>
      </c>
      <c r="BE209" s="41">
        <f t="shared" si="273"/>
        <v>25405382.326042227</v>
      </c>
      <c r="BF209" s="41">
        <f t="shared" si="273"/>
        <v>42765726.91550442</v>
      </c>
      <c r="BG209" s="41">
        <f t="shared" si="273"/>
        <v>37557623.538665764</v>
      </c>
      <c r="BH209" s="237">
        <f t="shared" si="273"/>
        <v>33704473.88588269</v>
      </c>
      <c r="BI209" s="41">
        <v>55</v>
      </c>
      <c r="BJ209" s="41">
        <v>14</v>
      </c>
      <c r="BK209" s="41">
        <v>39</v>
      </c>
      <c r="BL209" s="398">
        <v>72</v>
      </c>
      <c r="BM209" s="398">
        <v>17</v>
      </c>
      <c r="BN209" s="235">
        <v>19</v>
      </c>
      <c r="BO209" s="41"/>
      <c r="BP209" s="41"/>
      <c r="BQ209" s="41"/>
      <c r="BR209" s="205"/>
      <c r="BT209" s="235"/>
      <c r="BU209" s="41"/>
      <c r="BV209" s="41"/>
      <c r="BW209" s="41"/>
      <c r="BX209" s="41"/>
      <c r="BY209" s="41"/>
      <c r="BZ209" s="235"/>
      <c r="CA209" s="41"/>
      <c r="CB209" s="41"/>
      <c r="CC209" s="41"/>
      <c r="CD209" s="41"/>
      <c r="CE209" s="41"/>
      <c r="CF209" s="205"/>
      <c r="CG209" s="205"/>
      <c r="CH209" s="205"/>
      <c r="CI209" s="39"/>
      <c r="CJ209" s="41"/>
      <c r="CK209" s="41"/>
      <c r="CL209" s="38"/>
      <c r="CM209" s="38"/>
      <c r="CN209" s="38"/>
      <c r="CO209" s="39"/>
      <c r="CP209" s="41"/>
      <c r="CQ209" s="41"/>
      <c r="CR209" s="237"/>
      <c r="CS209" s="41">
        <f aca="true" t="shared" si="274" ref="CS209:CX209">BI209+BU209</f>
        <v>55</v>
      </c>
      <c r="CT209" s="41">
        <f t="shared" si="274"/>
        <v>14</v>
      </c>
      <c r="CU209" s="41">
        <f t="shared" si="274"/>
        <v>39</v>
      </c>
      <c r="CV209" s="41">
        <f t="shared" si="274"/>
        <v>72</v>
      </c>
      <c r="CW209" s="41">
        <f t="shared" si="274"/>
        <v>17</v>
      </c>
      <c r="CX209" s="237">
        <f t="shared" si="274"/>
        <v>19</v>
      </c>
      <c r="CY209" s="41">
        <f aca="true" t="shared" si="275" ref="CY209:DD209">CS209*1000/0.45359237/$B209</f>
        <v>2328826.7132205376</v>
      </c>
      <c r="CZ209" s="41">
        <f t="shared" si="275"/>
        <v>592792.2542743187</v>
      </c>
      <c r="DA209" s="41">
        <f t="shared" si="275"/>
        <v>1651349.8511927447</v>
      </c>
      <c r="DB209" s="41">
        <f t="shared" si="275"/>
        <v>3048645.8791250675</v>
      </c>
      <c r="DC209" s="41">
        <f t="shared" si="275"/>
        <v>719819.1659045297</v>
      </c>
      <c r="DD209" s="237">
        <f t="shared" si="275"/>
        <v>804503.7736580039</v>
      </c>
      <c r="DE209" s="39">
        <f t="shared" si="265"/>
        <v>604</v>
      </c>
      <c r="DF209" s="39">
        <f t="shared" si="266"/>
        <v>756</v>
      </c>
      <c r="DG209" s="39">
        <f t="shared" si="267"/>
        <v>561</v>
      </c>
      <c r="DH209" s="39">
        <f t="shared" si="267"/>
        <v>938</v>
      </c>
      <c r="DI209" s="39">
        <f t="shared" si="267"/>
        <v>870</v>
      </c>
      <c r="DJ209" s="243">
        <f t="shared" si="267"/>
        <v>777</v>
      </c>
      <c r="DK209" s="39">
        <f t="shared" si="268"/>
        <v>25574751.541549176</v>
      </c>
      <c r="DL209" s="39">
        <f t="shared" si="269"/>
        <v>32010781.730813205</v>
      </c>
      <c r="DM209" s="39">
        <f t="shared" si="270"/>
        <v>23754032.47484948</v>
      </c>
      <c r="DN209" s="39">
        <f t="shared" si="270"/>
        <v>39717081.03637935</v>
      </c>
      <c r="DO209" s="39">
        <f t="shared" si="270"/>
        <v>36837804.372761235</v>
      </c>
      <c r="DP209" s="243">
        <f t="shared" si="270"/>
        <v>32899970.112224687</v>
      </c>
      <c r="DQ209" s="39">
        <f>DK209+Commerical!I207</f>
        <v>25574751.541549176</v>
      </c>
      <c r="DR209" s="39">
        <f>DL209+Commerical!J207</f>
        <v>32010781.730813205</v>
      </c>
      <c r="DS209" s="39">
        <f>DM209+Commerical!K207</f>
        <v>23754032.47484948</v>
      </c>
      <c r="DT209" s="39">
        <f>DN209+Commerical!L207</f>
        <v>39717081.03637935</v>
      </c>
      <c r="DU209" s="39">
        <f>DO209+Commerical!M207</f>
        <v>36837804.372761235</v>
      </c>
      <c r="DV209" s="243">
        <f>DP209+Commerical!N207</f>
        <v>32899970.112224687</v>
      </c>
      <c r="DW209" s="39"/>
      <c r="DX209" s="39"/>
      <c r="DY209" s="38"/>
      <c r="DZ209" s="38"/>
      <c r="EA209" s="546"/>
      <c r="EB209" s="38"/>
      <c r="EC209" s="38"/>
      <c r="ED209" s="38"/>
    </row>
    <row r="210" spans="1:134" ht="12.75">
      <c r="A210" s="88" t="s">
        <v>318</v>
      </c>
      <c r="B210" s="29">
        <f>Commerical!B208</f>
        <v>0.23</v>
      </c>
      <c r="C210" s="41"/>
      <c r="D210" s="41"/>
      <c r="E210" s="41"/>
      <c r="F210" s="41"/>
      <c r="G210" s="235"/>
      <c r="H210" s="41"/>
      <c r="I210" s="205"/>
      <c r="J210" s="205"/>
      <c r="K210" s="205"/>
      <c r="L210" s="205"/>
      <c r="M210" s="205"/>
      <c r="N210" s="205"/>
      <c r="O210" s="205"/>
      <c r="P210" s="205"/>
      <c r="Q210" s="205"/>
      <c r="R210" s="271"/>
      <c r="S210" s="205"/>
      <c r="T210" s="205"/>
      <c r="U210" s="205"/>
      <c r="V210" s="205"/>
      <c r="W210" s="205"/>
      <c r="X210" s="216"/>
      <c r="Y210" s="205"/>
      <c r="Z210" s="205"/>
      <c r="AA210" s="205"/>
      <c r="AB210" s="205"/>
      <c r="AC210" s="38"/>
      <c r="AD210" s="41"/>
      <c r="AE210" s="616"/>
      <c r="AF210" s="205"/>
      <c r="AG210" s="205"/>
      <c r="AH210" s="205"/>
      <c r="AI210" s="205"/>
      <c r="AJ210" s="205"/>
      <c r="AK210" s="205"/>
      <c r="AL210" s="205"/>
      <c r="AM210" s="41"/>
      <c r="AN210" s="41"/>
      <c r="AO210" s="41"/>
      <c r="AP210" s="38"/>
      <c r="AQ210" s="38"/>
      <c r="AR210" s="38"/>
      <c r="AS210" s="205"/>
      <c r="AT210" s="205"/>
      <c r="AU210" s="205"/>
      <c r="AV210" s="235"/>
      <c r="AW210" s="41"/>
      <c r="AX210" s="41"/>
      <c r="AY210" s="41"/>
      <c r="AZ210" s="41"/>
      <c r="BA210" s="41"/>
      <c r="BB210" s="237"/>
      <c r="BC210" s="41"/>
      <c r="BD210" s="41"/>
      <c r="BE210" s="210"/>
      <c r="BF210" s="41"/>
      <c r="BG210" s="41"/>
      <c r="BH210" s="237"/>
      <c r="BI210" s="41"/>
      <c r="BJ210" s="41"/>
      <c r="BK210" s="41"/>
      <c r="BL210" s="41"/>
      <c r="BM210" s="41"/>
      <c r="BN210" s="216"/>
      <c r="BO210" s="205"/>
      <c r="BP210" s="205"/>
      <c r="BQ210" s="205"/>
      <c r="BR210" s="205"/>
      <c r="BS210" s="205"/>
      <c r="BT210" s="216"/>
      <c r="BU210" s="205"/>
      <c r="BV210" s="205"/>
      <c r="BW210" s="205"/>
      <c r="BX210" s="205"/>
      <c r="BY210" s="205"/>
      <c r="BZ210" s="235"/>
      <c r="CA210" s="41"/>
      <c r="CB210" s="41"/>
      <c r="CC210" s="205"/>
      <c r="CD210" s="205"/>
      <c r="CE210" s="205"/>
      <c r="CF210" s="205"/>
      <c r="CG210" s="205"/>
      <c r="CH210" s="205"/>
      <c r="CI210" s="39"/>
      <c r="CJ210" s="41"/>
      <c r="CK210" s="41"/>
      <c r="CL210" s="38"/>
      <c r="CM210" s="38"/>
      <c r="CN210" s="38"/>
      <c r="CO210" s="39"/>
      <c r="CP210" s="205"/>
      <c r="CQ210" s="205"/>
      <c r="CR210" s="282"/>
      <c r="CS210" s="205"/>
      <c r="CT210" s="41"/>
      <c r="CU210" s="41"/>
      <c r="CV210" s="41"/>
      <c r="CW210" s="41"/>
      <c r="CX210" s="237"/>
      <c r="CY210" s="41"/>
      <c r="CZ210" s="41"/>
      <c r="DA210" s="41"/>
      <c r="DB210" s="41"/>
      <c r="DC210" s="41"/>
      <c r="DD210" s="237"/>
      <c r="DE210" s="41"/>
      <c r="DF210" s="39"/>
      <c r="DG210" s="39"/>
      <c r="DH210" s="39"/>
      <c r="DI210" s="39"/>
      <c r="DJ210" s="243"/>
      <c r="DK210" s="39"/>
      <c r="DL210" s="39"/>
      <c r="DM210" s="39"/>
      <c r="DN210" s="39"/>
      <c r="DO210" s="39"/>
      <c r="DP210" s="243"/>
      <c r="DQ210" s="39">
        <f>DK210+Commerical!I208</f>
        <v>180152173.91304347</v>
      </c>
      <c r="DR210" s="39">
        <f>DL210+Commerical!J208</f>
        <v>151665217.39130434</v>
      </c>
      <c r="DS210" s="39">
        <f>DM210+Commerical!K208</f>
        <v>176543478.26086956</v>
      </c>
      <c r="DT210" s="39">
        <f>DN210+Commerical!L208</f>
        <v>152382608.69565216</v>
      </c>
      <c r="DU210" s="39">
        <f>DO210+Commerical!M208</f>
        <v>86478260.86956522</v>
      </c>
      <c r="DV210" s="243">
        <f>DP210+Commerical!N208</f>
        <v>132630434.78260869</v>
      </c>
      <c r="DW210" s="138"/>
      <c r="DX210" s="39"/>
      <c r="DY210" s="38"/>
      <c r="DZ210" s="38"/>
      <c r="EA210" s="546"/>
      <c r="EB210" s="38"/>
      <c r="EC210" s="38"/>
      <c r="ED210" s="38"/>
    </row>
    <row r="211" spans="1:134" ht="12.75">
      <c r="A211" s="88" t="s">
        <v>319</v>
      </c>
      <c r="B211" s="29">
        <f>Commerical!B209</f>
        <v>0.2995125</v>
      </c>
      <c r="C211" s="41"/>
      <c r="D211" s="41"/>
      <c r="E211" s="41"/>
      <c r="F211" s="41"/>
      <c r="G211" s="235"/>
      <c r="H211" s="41"/>
      <c r="I211" s="205"/>
      <c r="J211" s="205"/>
      <c r="K211" s="205"/>
      <c r="L211" s="205"/>
      <c r="M211" s="205"/>
      <c r="N211" s="205"/>
      <c r="O211" s="205"/>
      <c r="P211" s="205"/>
      <c r="Q211" s="205"/>
      <c r="R211" s="271"/>
      <c r="S211" s="205"/>
      <c r="T211" s="205"/>
      <c r="U211" s="205"/>
      <c r="V211" s="205"/>
      <c r="W211" s="205"/>
      <c r="X211" s="216"/>
      <c r="Y211" s="205"/>
      <c r="Z211" s="205"/>
      <c r="AA211" s="205"/>
      <c r="AB211" s="205"/>
      <c r="AC211" s="38"/>
      <c r="AD211" s="41"/>
      <c r="AE211" s="616"/>
      <c r="AF211" s="205"/>
      <c r="AG211" s="205"/>
      <c r="AH211" s="205"/>
      <c r="AI211" s="205"/>
      <c r="AJ211" s="205"/>
      <c r="AK211" s="205"/>
      <c r="AL211" s="205"/>
      <c r="AM211" s="41"/>
      <c r="AN211" s="41"/>
      <c r="AO211" s="41"/>
      <c r="AP211" s="38"/>
      <c r="AQ211" s="38"/>
      <c r="AR211" s="38"/>
      <c r="AS211" s="205"/>
      <c r="AT211" s="205"/>
      <c r="AU211" s="205"/>
      <c r="AV211" s="235"/>
      <c r="AW211" s="41"/>
      <c r="AX211" s="41"/>
      <c r="AY211" s="41"/>
      <c r="AZ211" s="41"/>
      <c r="BA211" s="41"/>
      <c r="BB211" s="237"/>
      <c r="BC211" s="41"/>
      <c r="BD211" s="41"/>
      <c r="BE211" s="210"/>
      <c r="BF211" s="41"/>
      <c r="BG211" s="41"/>
      <c r="BH211" s="237"/>
      <c r="BI211" s="41"/>
      <c r="BJ211" s="41"/>
      <c r="BK211" s="41"/>
      <c r="BL211" s="41"/>
      <c r="BM211" s="41"/>
      <c r="BN211" s="216"/>
      <c r="BO211" s="205"/>
      <c r="BP211" s="205"/>
      <c r="BQ211" s="205"/>
      <c r="BR211" s="205"/>
      <c r="BS211" s="205"/>
      <c r="BT211" s="216"/>
      <c r="BU211" s="205"/>
      <c r="BV211" s="205"/>
      <c r="BW211" s="205"/>
      <c r="BX211" s="205"/>
      <c r="BY211" s="205"/>
      <c r="BZ211" s="235"/>
      <c r="CA211" s="41"/>
      <c r="CB211" s="41"/>
      <c r="CC211" s="205"/>
      <c r="CD211" s="205"/>
      <c r="CE211" s="205"/>
      <c r="CF211" s="205"/>
      <c r="CG211" s="205"/>
      <c r="CH211" s="205"/>
      <c r="CI211" s="39"/>
      <c r="CJ211" s="41"/>
      <c r="CK211" s="41"/>
      <c r="CL211" s="38"/>
      <c r="CM211" s="38"/>
      <c r="CN211" s="38"/>
      <c r="CO211" s="39"/>
      <c r="CP211" s="205"/>
      <c r="CQ211" s="205"/>
      <c r="CR211" s="282"/>
      <c r="CS211" s="205"/>
      <c r="CT211" s="41"/>
      <c r="CU211" s="41"/>
      <c r="CV211" s="41"/>
      <c r="CW211" s="41"/>
      <c r="CX211" s="237"/>
      <c r="CY211" s="41"/>
      <c r="CZ211" s="41"/>
      <c r="DA211" s="41"/>
      <c r="DB211" s="41"/>
      <c r="DC211" s="41"/>
      <c r="DD211" s="237"/>
      <c r="DE211" s="41"/>
      <c r="DF211" s="39"/>
      <c r="DG211" s="39"/>
      <c r="DH211" s="39"/>
      <c r="DI211" s="39"/>
      <c r="DJ211" s="243"/>
      <c r="DK211" s="39"/>
      <c r="DL211" s="39"/>
      <c r="DM211" s="39"/>
      <c r="DN211" s="39"/>
      <c r="DO211" s="39"/>
      <c r="DP211" s="243"/>
      <c r="DQ211" s="39">
        <f>DK211+Commerical!I209</f>
        <v>70227452.94436793</v>
      </c>
      <c r="DR211" s="39">
        <f>DL211+Commerical!J209</f>
        <v>49233337.506781854</v>
      </c>
      <c r="DS211" s="39">
        <f>DM211+Commerical!K209</f>
        <v>68401151.87179166</v>
      </c>
      <c r="DT211" s="39">
        <f>DN211+Commerical!L209</f>
        <v>83909686.57401611</v>
      </c>
      <c r="DU211" s="39">
        <f>DO211+Commerical!M209</f>
        <v>90744125.87120737</v>
      </c>
      <c r="DV211" s="243">
        <f>DP211+Commerical!N209</f>
        <v>117026835.27398689</v>
      </c>
      <c r="DW211" s="138"/>
      <c r="DX211" s="39"/>
      <c r="DY211" s="38"/>
      <c r="DZ211" s="38"/>
      <c r="EA211" s="546"/>
      <c r="EB211" s="38"/>
      <c r="EC211" s="38"/>
      <c r="ED211" s="38"/>
    </row>
    <row r="212" spans="1:134" ht="12.75">
      <c r="A212" s="88" t="s">
        <v>320</v>
      </c>
      <c r="B212" s="29">
        <f>Commerical!B210</f>
        <v>0.153</v>
      </c>
      <c r="C212" s="41"/>
      <c r="D212" s="41"/>
      <c r="E212" s="41"/>
      <c r="F212" s="41"/>
      <c r="G212" s="235"/>
      <c r="H212" s="41"/>
      <c r="I212" s="205"/>
      <c r="J212" s="205"/>
      <c r="K212" s="205"/>
      <c r="L212" s="205"/>
      <c r="M212" s="205"/>
      <c r="N212" s="205"/>
      <c r="O212" s="205"/>
      <c r="P212" s="205"/>
      <c r="Q212" s="205"/>
      <c r="R212" s="271"/>
      <c r="S212" s="205"/>
      <c r="T212" s="205"/>
      <c r="U212" s="205"/>
      <c r="V212" s="205"/>
      <c r="W212" s="205"/>
      <c r="X212" s="216"/>
      <c r="Y212" s="205"/>
      <c r="Z212" s="205"/>
      <c r="AA212" s="205"/>
      <c r="AB212" s="205"/>
      <c r="AC212" s="38"/>
      <c r="AD212" s="211"/>
      <c r="AE212" s="646"/>
      <c r="AF212" s="205"/>
      <c r="AG212" s="205"/>
      <c r="AH212" s="205"/>
      <c r="AI212" s="205"/>
      <c r="AJ212" s="205"/>
      <c r="AK212" s="205"/>
      <c r="AL212" s="205"/>
      <c r="AM212" s="211"/>
      <c r="AN212" s="211"/>
      <c r="AO212" s="211"/>
      <c r="AP212" s="38"/>
      <c r="AQ212" s="38"/>
      <c r="AR212" s="38"/>
      <c r="AS212" s="205"/>
      <c r="AT212" s="205"/>
      <c r="AU212" s="205"/>
      <c r="AV212" s="235"/>
      <c r="AW212" s="41"/>
      <c r="AX212" s="41"/>
      <c r="AY212" s="41"/>
      <c r="AZ212" s="41"/>
      <c r="BA212" s="41"/>
      <c r="BB212" s="237"/>
      <c r="BC212" s="41"/>
      <c r="BD212" s="41"/>
      <c r="BE212" s="210"/>
      <c r="BF212" s="41"/>
      <c r="BG212" s="41"/>
      <c r="BH212" s="237"/>
      <c r="BI212" s="41"/>
      <c r="BJ212" s="41"/>
      <c r="BK212" s="41"/>
      <c r="BL212" s="41"/>
      <c r="BM212" s="41"/>
      <c r="BN212" s="216"/>
      <c r="BO212" s="205"/>
      <c r="BP212" s="205"/>
      <c r="BQ212" s="205"/>
      <c r="BR212" s="205"/>
      <c r="BS212" s="205"/>
      <c r="BT212" s="216"/>
      <c r="BU212" s="205"/>
      <c r="BV212" s="205"/>
      <c r="BW212" s="205"/>
      <c r="BX212" s="205"/>
      <c r="BY212" s="205"/>
      <c r="BZ212" s="411"/>
      <c r="CA212" s="211"/>
      <c r="CB212" s="211"/>
      <c r="CC212" s="205"/>
      <c r="CD212" s="205"/>
      <c r="CE212" s="205"/>
      <c r="CF212" s="205"/>
      <c r="CG212" s="205"/>
      <c r="CH212" s="205"/>
      <c r="CI212" s="39"/>
      <c r="CJ212" s="211"/>
      <c r="CK212" s="211"/>
      <c r="CL212" s="38"/>
      <c r="CM212" s="38"/>
      <c r="CN212" s="38"/>
      <c r="CO212" s="39"/>
      <c r="CP212" s="205"/>
      <c r="CQ212" s="205"/>
      <c r="CR212" s="282"/>
      <c r="CS212" s="205"/>
      <c r="CT212" s="41"/>
      <c r="CU212" s="41"/>
      <c r="CV212" s="41"/>
      <c r="CW212" s="41"/>
      <c r="CX212" s="237"/>
      <c r="CY212" s="41"/>
      <c r="CZ212" s="41"/>
      <c r="DA212" s="41"/>
      <c r="DB212" s="41"/>
      <c r="DC212" s="41"/>
      <c r="DD212" s="237"/>
      <c r="DE212" s="41"/>
      <c r="DF212" s="39"/>
      <c r="DG212" s="39"/>
      <c r="DH212" s="39"/>
      <c r="DI212" s="39"/>
      <c r="DJ212" s="243"/>
      <c r="DK212" s="39"/>
      <c r="DL212" s="39"/>
      <c r="DM212" s="39"/>
      <c r="DN212" s="39"/>
      <c r="DO212" s="39"/>
      <c r="DP212" s="243"/>
      <c r="DQ212" s="39">
        <f>DK212+Commerical!I210</f>
        <v>5810457.516339869</v>
      </c>
      <c r="DR212" s="39">
        <f>DL212+Commerical!J210</f>
        <v>7784313.725490197</v>
      </c>
      <c r="DS212" s="39">
        <f>DM212+Commerical!K210</f>
        <v>10058823.529411765</v>
      </c>
      <c r="DT212" s="39">
        <f>DN212+Commerical!L210</f>
        <v>18732026.14379085</v>
      </c>
      <c r="DU212" s="39">
        <f>DO212+Commerical!M210</f>
        <v>18052287.581699345</v>
      </c>
      <c r="DV212" s="243">
        <f>DP212+Commerical!N210</f>
        <v>1156862.7450980393</v>
      </c>
      <c r="DW212" s="138"/>
      <c r="DX212" s="39"/>
      <c r="DY212" s="38"/>
      <c r="DZ212" s="38"/>
      <c r="EA212" s="546"/>
      <c r="EB212" s="38"/>
      <c r="EC212" s="38"/>
      <c r="ED212" s="38"/>
    </row>
    <row r="213" spans="1:134" ht="12.75">
      <c r="A213" s="88" t="s">
        <v>328</v>
      </c>
      <c r="B213" s="29">
        <f>Commerical!B211</f>
        <v>0.147</v>
      </c>
      <c r="C213" s="41"/>
      <c r="D213" s="41"/>
      <c r="E213" s="41"/>
      <c r="F213" s="41"/>
      <c r="G213" s="235"/>
      <c r="H213" s="41"/>
      <c r="I213" s="38"/>
      <c r="J213" s="38"/>
      <c r="K213" s="38"/>
      <c r="L213" s="38"/>
      <c r="M213" s="39"/>
      <c r="N213" s="205"/>
      <c r="O213" s="205"/>
      <c r="P213" s="205"/>
      <c r="Q213" s="38"/>
      <c r="R213" s="273"/>
      <c r="S213" s="38"/>
      <c r="T213" s="38"/>
      <c r="U213" s="38"/>
      <c r="V213" s="38"/>
      <c r="W213" s="38"/>
      <c r="X213" s="238"/>
      <c r="Y213" s="38"/>
      <c r="Z213" s="38"/>
      <c r="AA213" s="38"/>
      <c r="AB213" s="38"/>
      <c r="AC213" s="38"/>
      <c r="AD213" s="41"/>
      <c r="AE213" s="616"/>
      <c r="AF213" s="38"/>
      <c r="AG213" s="38"/>
      <c r="AH213" s="38"/>
      <c r="AI213" s="38"/>
      <c r="AJ213" s="38"/>
      <c r="AK213" s="38"/>
      <c r="AL213" s="38"/>
      <c r="AM213" s="41"/>
      <c r="AN213" s="41"/>
      <c r="AO213" s="41"/>
      <c r="AP213" s="38"/>
      <c r="AQ213" s="38"/>
      <c r="AR213" s="38"/>
      <c r="AS213" s="38"/>
      <c r="AT213" s="38"/>
      <c r="AU213" s="38"/>
      <c r="AV213" s="410"/>
      <c r="AW213" s="183"/>
      <c r="AX213" s="183"/>
      <c r="AY213" s="183"/>
      <c r="AZ213" s="41"/>
      <c r="BA213" s="41"/>
      <c r="BB213" s="237"/>
      <c r="BC213" s="41"/>
      <c r="BD213" s="41"/>
      <c r="BE213" s="210"/>
      <c r="BF213" s="41"/>
      <c r="BG213" s="41"/>
      <c r="BH213" s="237"/>
      <c r="BI213" s="41"/>
      <c r="BJ213" s="41"/>
      <c r="BK213" s="41"/>
      <c r="BL213" s="41"/>
      <c r="BM213" s="41"/>
      <c r="BN213" s="238"/>
      <c r="BO213" s="38"/>
      <c r="BP213" s="38"/>
      <c r="BQ213" s="38"/>
      <c r="BR213" s="38"/>
      <c r="BS213" s="38"/>
      <c r="BT213" s="238"/>
      <c r="BU213" s="38"/>
      <c r="BV213" s="38"/>
      <c r="BW213" s="38"/>
      <c r="BX213" s="38"/>
      <c r="BY213" s="38"/>
      <c r="BZ213" s="235"/>
      <c r="CA213" s="41"/>
      <c r="CB213" s="41"/>
      <c r="CC213" s="38"/>
      <c r="CD213" s="38"/>
      <c r="CE213" s="38"/>
      <c r="CF213" s="205"/>
      <c r="CG213" s="205"/>
      <c r="CH213" s="205"/>
      <c r="CI213" s="39"/>
      <c r="CJ213" s="41"/>
      <c r="CK213" s="41"/>
      <c r="CL213" s="38"/>
      <c r="CM213" s="38"/>
      <c r="CN213" s="38"/>
      <c r="CO213" s="39"/>
      <c r="CP213" s="38"/>
      <c r="CQ213" s="38"/>
      <c r="CR213" s="259"/>
      <c r="CS213" s="38"/>
      <c r="CT213" s="183"/>
      <c r="CU213" s="41"/>
      <c r="CV213" s="41"/>
      <c r="CW213" s="41"/>
      <c r="CX213" s="237"/>
      <c r="CY213" s="41"/>
      <c r="CZ213" s="41"/>
      <c r="DA213" s="41"/>
      <c r="DB213" s="41"/>
      <c r="DC213" s="41"/>
      <c r="DD213" s="237"/>
      <c r="DE213" s="41"/>
      <c r="DF213" s="39"/>
      <c r="DG213" s="39"/>
      <c r="DH213" s="39"/>
      <c r="DI213" s="39"/>
      <c r="DJ213" s="243"/>
      <c r="DK213" s="39"/>
      <c r="DL213" s="39"/>
      <c r="DM213" s="39"/>
      <c r="DN213" s="39"/>
      <c r="DO213" s="39"/>
      <c r="DP213" s="243"/>
      <c r="DQ213" s="39">
        <f>DK213+Commerical!I211</f>
        <v>1822986394.5578232</v>
      </c>
      <c r="DR213" s="39">
        <f>DL213+Commerical!J211</f>
        <v>1948163265.3061225</v>
      </c>
      <c r="DS213" s="39">
        <f>DM213+Commerical!K211</f>
        <v>1385326530.612245</v>
      </c>
      <c r="DT213" s="39">
        <f>DN213+Commerical!L211</f>
        <v>548843537.414966</v>
      </c>
      <c r="DU213" s="39">
        <f>DO213+Commerical!M211</f>
        <v>741993197.2789116</v>
      </c>
      <c r="DV213" s="243">
        <f>DP213+Commerical!N211</f>
        <v>737455782.3129252</v>
      </c>
      <c r="DW213" s="138"/>
      <c r="DX213" s="39"/>
      <c r="DY213" s="38"/>
      <c r="DZ213" s="38"/>
      <c r="EA213" s="546"/>
      <c r="EB213" s="38"/>
      <c r="EC213" s="38"/>
      <c r="ED213" s="38"/>
    </row>
    <row r="214" spans="1:134" ht="12.75">
      <c r="A214" s="88" t="s">
        <v>329</v>
      </c>
      <c r="B214" s="29">
        <f>Commerical!B212</f>
        <v>0.153</v>
      </c>
      <c r="C214" s="41"/>
      <c r="D214" s="41"/>
      <c r="E214" s="41"/>
      <c r="F214" s="41"/>
      <c r="G214" s="235"/>
      <c r="H214" s="41"/>
      <c r="I214" s="205"/>
      <c r="J214" s="205"/>
      <c r="K214" s="205"/>
      <c r="L214" s="205"/>
      <c r="M214" s="205"/>
      <c r="N214" s="205"/>
      <c r="O214" s="205"/>
      <c r="P214" s="205"/>
      <c r="Q214" s="205"/>
      <c r="R214" s="271"/>
      <c r="S214" s="205"/>
      <c r="T214" s="205"/>
      <c r="U214" s="205"/>
      <c r="V214" s="205"/>
      <c r="W214" s="205"/>
      <c r="X214" s="216"/>
      <c r="Y214" s="205"/>
      <c r="AB214" s="205"/>
      <c r="AC214" s="38"/>
      <c r="AD214" s="41"/>
      <c r="AE214" s="616"/>
      <c r="AF214" s="205"/>
      <c r="AG214" s="205"/>
      <c r="AH214" s="205"/>
      <c r="AI214" s="205"/>
      <c r="AJ214" s="205"/>
      <c r="AK214" s="205"/>
      <c r="AL214" s="205"/>
      <c r="AM214" s="41"/>
      <c r="AN214" s="41"/>
      <c r="AO214" s="41"/>
      <c r="AP214" s="38"/>
      <c r="AQ214" s="38"/>
      <c r="AR214" s="38"/>
      <c r="AS214" s="205"/>
      <c r="AT214" s="205"/>
      <c r="AU214" s="205"/>
      <c r="AV214" s="235"/>
      <c r="AW214" s="41"/>
      <c r="AX214" s="41"/>
      <c r="AY214" s="41"/>
      <c r="AZ214" s="41"/>
      <c r="BA214" s="41"/>
      <c r="BB214" s="237"/>
      <c r="BC214" s="41"/>
      <c r="BD214" s="41"/>
      <c r="BE214" s="210"/>
      <c r="BF214" s="41"/>
      <c r="BG214" s="41"/>
      <c r="BH214" s="237"/>
      <c r="BI214" s="41"/>
      <c r="BJ214" s="41"/>
      <c r="BK214" s="41"/>
      <c r="BL214" s="41"/>
      <c r="BM214" s="41"/>
      <c r="BN214" s="216"/>
      <c r="BO214" s="205"/>
      <c r="BP214" s="205"/>
      <c r="BQ214" s="205"/>
      <c r="BR214" s="205"/>
      <c r="BS214" s="205"/>
      <c r="BT214" s="216"/>
      <c r="BU214" s="205"/>
      <c r="BV214" s="205"/>
      <c r="BW214" s="205"/>
      <c r="BX214" s="205"/>
      <c r="BY214" s="205"/>
      <c r="BZ214" s="235"/>
      <c r="CA214" s="41"/>
      <c r="CB214" s="41"/>
      <c r="CC214" s="205"/>
      <c r="CD214" s="205"/>
      <c r="CE214" s="205"/>
      <c r="CF214" s="205"/>
      <c r="CG214" s="205"/>
      <c r="CH214" s="205"/>
      <c r="CI214" s="39"/>
      <c r="CJ214" s="41"/>
      <c r="CK214" s="41"/>
      <c r="CL214" s="38"/>
      <c r="CM214" s="38"/>
      <c r="CN214" s="38"/>
      <c r="CO214" s="39"/>
      <c r="CP214" s="205"/>
      <c r="CQ214" s="205"/>
      <c r="CR214" s="282"/>
      <c r="CS214" s="205"/>
      <c r="CT214" s="41"/>
      <c r="CU214" s="41"/>
      <c r="CV214" s="41"/>
      <c r="CW214" s="41"/>
      <c r="CX214" s="237"/>
      <c r="CY214" s="41"/>
      <c r="CZ214" s="41"/>
      <c r="DA214" s="41"/>
      <c r="DB214" s="41"/>
      <c r="DC214" s="41"/>
      <c r="DD214" s="237"/>
      <c r="DE214" s="41"/>
      <c r="DF214" s="39"/>
      <c r="DG214" s="39"/>
      <c r="DH214" s="39"/>
      <c r="DI214" s="39"/>
      <c r="DJ214" s="243"/>
      <c r="DK214" s="39"/>
      <c r="DL214" s="39"/>
      <c r="DM214" s="39"/>
      <c r="DN214" s="39"/>
      <c r="DO214" s="39"/>
      <c r="DP214" s="243"/>
      <c r="DQ214" s="39">
        <f>DK214+Commerical!I212</f>
        <v>39215.686274509804</v>
      </c>
      <c r="DR214" s="39">
        <f>DL214+Commerical!J212</f>
        <v>150326.7973856209</v>
      </c>
      <c r="DS214" s="39">
        <f>DM214+Commerical!K212</f>
        <v>117647.05882352941</v>
      </c>
      <c r="DT214" s="39">
        <f>DN214+Commerical!L212</f>
        <v>13228758.169934642</v>
      </c>
      <c r="DU214" s="39">
        <f>DO214+Commerical!M212</f>
        <v>1163398.6928104574</v>
      </c>
      <c r="DV214" s="243">
        <f>DP214+Commerical!N212</f>
        <v>32065359.477124184</v>
      </c>
      <c r="DW214" s="138"/>
      <c r="DX214" s="39"/>
      <c r="DY214" s="38"/>
      <c r="DZ214" s="38"/>
      <c r="EA214" s="546"/>
      <c r="EB214" s="38"/>
      <c r="EC214" s="38"/>
      <c r="ED214" s="38"/>
    </row>
    <row r="215" spans="1:134" ht="12.75">
      <c r="A215" s="207" t="s">
        <v>654</v>
      </c>
      <c r="B215" s="29">
        <f>SUM(Commerical!C208:H212)*1000/SUM(Commerical!I208:N212)</f>
        <v>0.16396778239527526</v>
      </c>
      <c r="C215" s="41">
        <v>58793</v>
      </c>
      <c r="D215" s="41">
        <v>58305</v>
      </c>
      <c r="E215" s="41">
        <v>48817</v>
      </c>
      <c r="F215" s="397">
        <v>58868</v>
      </c>
      <c r="G215" s="495">
        <v>56629</v>
      </c>
      <c r="H215" s="401"/>
      <c r="I215" s="41"/>
      <c r="J215" s="41"/>
      <c r="K215" s="41"/>
      <c r="L215" s="41"/>
      <c r="M215" s="41"/>
      <c r="N215" s="205"/>
      <c r="O215" s="205"/>
      <c r="P215" s="205"/>
      <c r="Q215" s="41"/>
      <c r="R215" s="272">
        <v>64950</v>
      </c>
      <c r="S215" s="41"/>
      <c r="T215" s="41"/>
      <c r="U215" s="41"/>
      <c r="V215" s="41"/>
      <c r="W215" s="41"/>
      <c r="X215" s="235"/>
      <c r="Y215" s="41">
        <v>8547</v>
      </c>
      <c r="Z215" s="205">
        <v>8226</v>
      </c>
      <c r="AA215" s="205">
        <v>7284</v>
      </c>
      <c r="AB215" s="397">
        <v>6249</v>
      </c>
      <c r="AC215" s="397">
        <v>5783</v>
      </c>
      <c r="AD215" s="41">
        <v>4245</v>
      </c>
      <c r="AE215" s="616"/>
      <c r="AF215" s="41"/>
      <c r="AG215" s="41"/>
      <c r="AH215" s="41"/>
      <c r="AI215" s="41"/>
      <c r="AJ215" s="41"/>
      <c r="AK215" s="41"/>
      <c r="AL215" s="41"/>
      <c r="AM215" s="41"/>
      <c r="AN215" s="41"/>
      <c r="AO215" s="41"/>
      <c r="AP215" s="38"/>
      <c r="AQ215" s="38"/>
      <c r="AR215" s="38"/>
      <c r="AS215" s="41"/>
      <c r="AT215" s="41"/>
      <c r="AU215" s="41"/>
      <c r="AV215" s="235"/>
      <c r="AW215" s="41">
        <f aca="true" t="shared" si="276" ref="AW215:BA216">C215+Y215</f>
        <v>67340</v>
      </c>
      <c r="AX215" s="41">
        <f t="shared" si="276"/>
        <v>66531</v>
      </c>
      <c r="AY215" s="41">
        <f t="shared" si="276"/>
        <v>56101</v>
      </c>
      <c r="AZ215" s="41">
        <f t="shared" si="276"/>
        <v>65117</v>
      </c>
      <c r="BA215" s="41">
        <f t="shared" si="276"/>
        <v>62412</v>
      </c>
      <c r="BB215" s="237">
        <f>R215+AD215</f>
        <v>69195</v>
      </c>
      <c r="BC215" s="41">
        <f>AW215*1000/0.45359237/$B215</f>
        <v>905417425.2195925</v>
      </c>
      <c r="BD215" s="41">
        <f>AX215*1000/0.45359237/$B215</f>
        <v>894540046.2917243</v>
      </c>
      <c r="BE215" s="41">
        <f aca="true" t="shared" si="277" ref="BE215:BH216">AY215*1000/0.45359237/$B215</f>
        <v>754303875.4417042</v>
      </c>
      <c r="BF215" s="41">
        <f t="shared" si="277"/>
        <v>875528162.7268223</v>
      </c>
      <c r="BG215" s="41">
        <f t="shared" si="277"/>
        <v>839158187.4488448</v>
      </c>
      <c r="BH215" s="237">
        <f t="shared" si="277"/>
        <v>930358757.6190926</v>
      </c>
      <c r="BI215" s="41">
        <v>147336</v>
      </c>
      <c r="BJ215" s="41">
        <v>135450</v>
      </c>
      <c r="BK215" s="41">
        <v>95659</v>
      </c>
      <c r="BL215" s="397">
        <v>55773</v>
      </c>
      <c r="BM215" s="397">
        <v>54556</v>
      </c>
      <c r="BN215" s="235">
        <v>61139</v>
      </c>
      <c r="BO215" s="41"/>
      <c r="BP215" s="41"/>
      <c r="BQ215" s="41"/>
      <c r="BR215" s="205"/>
      <c r="BT215" s="235"/>
      <c r="BU215" s="41">
        <v>1221</v>
      </c>
      <c r="BV215" s="205">
        <v>1650</v>
      </c>
      <c r="BW215" s="41">
        <v>989</v>
      </c>
      <c r="BX215" s="400">
        <v>690</v>
      </c>
      <c r="BY215" s="401">
        <v>1736</v>
      </c>
      <c r="BZ215" s="235">
        <v>1490</v>
      </c>
      <c r="CA215" s="41"/>
      <c r="CB215" s="41"/>
      <c r="CC215" s="41"/>
      <c r="CD215" s="41"/>
      <c r="CE215" s="41"/>
      <c r="CF215" s="41"/>
      <c r="CG215" s="41"/>
      <c r="CH215" s="41"/>
      <c r="CI215" s="39"/>
      <c r="CJ215" s="41"/>
      <c r="CK215" s="41"/>
      <c r="CL215" s="38"/>
      <c r="CM215" s="38"/>
      <c r="CN215" s="38"/>
      <c r="CO215" s="39"/>
      <c r="CP215" s="41"/>
      <c r="CQ215" s="41"/>
      <c r="CR215" s="237"/>
      <c r="CS215" s="41">
        <f aca="true" t="shared" si="278" ref="CS215:CX218">BI215+BU215</f>
        <v>148557</v>
      </c>
      <c r="CT215" s="41">
        <f t="shared" si="278"/>
        <v>137100</v>
      </c>
      <c r="CU215" s="41">
        <f t="shared" si="278"/>
        <v>96648</v>
      </c>
      <c r="CV215" s="41">
        <f t="shared" si="278"/>
        <v>56463</v>
      </c>
      <c r="CW215" s="41">
        <f t="shared" si="278"/>
        <v>56292</v>
      </c>
      <c r="CX215" s="237">
        <f t="shared" si="278"/>
        <v>62629</v>
      </c>
      <c r="CY215" s="41">
        <f>CS215*1000/0.45359237/$B215</f>
        <v>1997417529.5269823</v>
      </c>
      <c r="CZ215" s="41">
        <f>CT215*1000/0.45359237/$B215</f>
        <v>1843372868.9873202</v>
      </c>
      <c r="DA215" s="41">
        <f aca="true" t="shared" si="279" ref="DA215:DD216">CU215*1000/0.45359237/$B215</f>
        <v>1299477031.6694858</v>
      </c>
      <c r="DB215" s="41">
        <f t="shared" si="279"/>
        <v>759171132.7617145</v>
      </c>
      <c r="DC215" s="41">
        <f t="shared" si="279"/>
        <v>756871958.723809</v>
      </c>
      <c r="DD215" s="237">
        <f t="shared" si="279"/>
        <v>842075852.7484089</v>
      </c>
      <c r="DE215" s="39">
        <f aca="true" t="shared" si="280" ref="DE215:DP216">AW215-CS215</f>
        <v>-81217</v>
      </c>
      <c r="DF215" s="39">
        <f t="shared" si="280"/>
        <v>-70569</v>
      </c>
      <c r="DG215" s="39">
        <f t="shared" si="280"/>
        <v>-40547</v>
      </c>
      <c r="DH215" s="39">
        <f t="shared" si="280"/>
        <v>8654</v>
      </c>
      <c r="DI215" s="39">
        <f t="shared" si="280"/>
        <v>6120</v>
      </c>
      <c r="DJ215" s="243">
        <f t="shared" si="280"/>
        <v>6566</v>
      </c>
      <c r="DK215" s="39">
        <f t="shared" si="280"/>
        <v>-1092000104.3073897</v>
      </c>
      <c r="DL215" s="39">
        <f t="shared" si="280"/>
        <v>-948832822.6955959</v>
      </c>
      <c r="DM215" s="39">
        <f t="shared" si="280"/>
        <v>-545173156.2277817</v>
      </c>
      <c r="DN215" s="39">
        <f t="shared" si="280"/>
        <v>116357029.9651078</v>
      </c>
      <c r="DO215" s="39">
        <f t="shared" si="280"/>
        <v>82286228.72503579</v>
      </c>
      <c r="DP215" s="243">
        <f t="shared" si="280"/>
        <v>88282904.87068367</v>
      </c>
      <c r="DQ215" s="39">
        <f>DK215+Commerical!I213</f>
        <v>-1092000104.3073897</v>
      </c>
      <c r="DR215" s="39">
        <f>DL215+Commerical!J213</f>
        <v>-948832822.6955959</v>
      </c>
      <c r="DS215" s="39">
        <f>DM215+Commerical!K213</f>
        <v>-545173156.2277817</v>
      </c>
      <c r="DT215" s="39">
        <f>DN215+Commerical!L213</f>
        <v>116357029.9651078</v>
      </c>
      <c r="DU215" s="39">
        <f>DO215+Commerical!M213</f>
        <v>82286228.72503579</v>
      </c>
      <c r="DV215" s="243">
        <f>DP215+Commerical!N213</f>
        <v>88282904.87068367</v>
      </c>
      <c r="DW215" s="138"/>
      <c r="DX215" s="39"/>
      <c r="DY215" s="38"/>
      <c r="DZ215" s="38"/>
      <c r="EA215" s="547"/>
      <c r="EB215" s="213"/>
      <c r="EC215" s="38"/>
      <c r="ED215" s="38"/>
    </row>
    <row r="216" spans="1:134" ht="12.75">
      <c r="A216" s="88" t="s">
        <v>321</v>
      </c>
      <c r="B216" s="29">
        <f>Commerical!B214</f>
        <v>0.11863866328675503</v>
      </c>
      <c r="C216" s="41">
        <v>6962</v>
      </c>
      <c r="D216" s="41">
        <v>6766</v>
      </c>
      <c r="E216" s="41">
        <v>6578</v>
      </c>
      <c r="F216" s="397">
        <v>6133</v>
      </c>
      <c r="G216" s="495">
        <v>6707</v>
      </c>
      <c r="H216" s="401"/>
      <c r="I216" s="205"/>
      <c r="J216" s="205"/>
      <c r="K216" s="205"/>
      <c r="L216" s="205"/>
      <c r="M216" s="205"/>
      <c r="N216" s="205"/>
      <c r="O216" s="205"/>
      <c r="P216" s="205"/>
      <c r="Q216" s="205"/>
      <c r="R216" s="271">
        <v>5760</v>
      </c>
      <c r="S216" s="205"/>
      <c r="T216" s="205"/>
      <c r="U216" s="205"/>
      <c r="V216" s="205"/>
      <c r="W216" s="205"/>
      <c r="X216" s="216"/>
      <c r="Y216" s="205"/>
      <c r="Z216" s="205"/>
      <c r="AA216" s="205"/>
      <c r="AB216" s="205"/>
      <c r="AC216" s="38"/>
      <c r="AD216" s="41">
        <v>77421</v>
      </c>
      <c r="AE216" s="616"/>
      <c r="AF216" s="205"/>
      <c r="AG216" s="205"/>
      <c r="AH216" s="205"/>
      <c r="AI216" s="205"/>
      <c r="AJ216" s="205"/>
      <c r="AK216" s="205"/>
      <c r="AL216" s="205"/>
      <c r="AM216" s="41"/>
      <c r="AN216" s="41"/>
      <c r="AO216" s="41"/>
      <c r="AP216" s="38"/>
      <c r="AQ216" s="38"/>
      <c r="AR216" s="38"/>
      <c r="AS216" s="205"/>
      <c r="AT216" s="205"/>
      <c r="AU216" s="205"/>
      <c r="AV216" s="235"/>
      <c r="AW216" s="41">
        <f t="shared" si="276"/>
        <v>6962</v>
      </c>
      <c r="AX216" s="41">
        <f t="shared" si="276"/>
        <v>6766</v>
      </c>
      <c r="AY216" s="41">
        <f t="shared" si="276"/>
        <v>6578</v>
      </c>
      <c r="AZ216" s="41">
        <f t="shared" si="276"/>
        <v>6133</v>
      </c>
      <c r="BA216" s="41">
        <f t="shared" si="276"/>
        <v>6707</v>
      </c>
      <c r="BB216" s="237">
        <f>R216+AD216</f>
        <v>83181</v>
      </c>
      <c r="BC216" s="41">
        <f>AW216*1000/0.45359237/$B216</f>
        <v>129372518.77335264</v>
      </c>
      <c r="BD216" s="41">
        <f>AX216*1000/0.45359237/$B216</f>
        <v>125730316.29136798</v>
      </c>
      <c r="BE216" s="41">
        <f t="shared" si="277"/>
        <v>122236775.13517863</v>
      </c>
      <c r="BF216" s="41">
        <f t="shared" si="277"/>
        <v>113967488.88781552</v>
      </c>
      <c r="BG216" s="41">
        <f t="shared" si="277"/>
        <v>124633939.01362771</v>
      </c>
      <c r="BH216" s="237">
        <f t="shared" si="277"/>
        <v>1545724717.62227</v>
      </c>
      <c r="BI216" s="41">
        <v>2928</v>
      </c>
      <c r="BJ216" s="41">
        <v>1811</v>
      </c>
      <c r="BK216" s="41">
        <v>1313</v>
      </c>
      <c r="BL216" s="397">
        <v>1354</v>
      </c>
      <c r="BM216" s="397">
        <v>1522</v>
      </c>
      <c r="BN216" s="216">
        <v>1237</v>
      </c>
      <c r="BO216" s="205"/>
      <c r="BP216" s="205"/>
      <c r="BQ216" s="205"/>
      <c r="BR216" s="205"/>
      <c r="BT216" s="216"/>
      <c r="BU216" s="205"/>
      <c r="BV216" s="205"/>
      <c r="BW216" s="205"/>
      <c r="BX216" s="205"/>
      <c r="BY216" s="205"/>
      <c r="BZ216" s="235"/>
      <c r="CA216" s="41"/>
      <c r="CB216" s="41"/>
      <c r="CC216" s="205"/>
      <c r="CD216" s="205"/>
      <c r="CE216" s="205"/>
      <c r="CF216" s="205"/>
      <c r="CG216" s="205"/>
      <c r="CH216" s="205"/>
      <c r="CI216" s="39"/>
      <c r="CJ216" s="41"/>
      <c r="CK216" s="41"/>
      <c r="CL216" s="38"/>
      <c r="CM216" s="38"/>
      <c r="CN216" s="38"/>
      <c r="CO216" s="39"/>
      <c r="CP216" s="205"/>
      <c r="CQ216" s="205"/>
      <c r="CR216" s="282"/>
      <c r="CS216" s="41">
        <f t="shared" si="278"/>
        <v>2928</v>
      </c>
      <c r="CT216" s="41">
        <f t="shared" si="278"/>
        <v>1811</v>
      </c>
      <c r="CU216" s="41">
        <f t="shared" si="278"/>
        <v>1313</v>
      </c>
      <c r="CV216" s="41">
        <f t="shared" si="278"/>
        <v>1354</v>
      </c>
      <c r="CW216" s="41">
        <f t="shared" si="278"/>
        <v>1522</v>
      </c>
      <c r="CX216" s="237">
        <f t="shared" si="278"/>
        <v>1237</v>
      </c>
      <c r="CY216" s="41">
        <f>CS216*1000/0.45359237/$B216</f>
        <v>54410045.241076775</v>
      </c>
      <c r="CZ216" s="41">
        <f>CT216*1000/0.45359237/$B216</f>
        <v>33653207.62690917</v>
      </c>
      <c r="DA216" s="41">
        <f t="shared" si="279"/>
        <v>24399040.096152257</v>
      </c>
      <c r="DB216" s="41">
        <f t="shared" si="279"/>
        <v>25160929.39085313</v>
      </c>
      <c r="DC216" s="41">
        <f t="shared" si="279"/>
        <v>28282817.232554253</v>
      </c>
      <c r="DD216" s="237">
        <f t="shared" si="279"/>
        <v>22986757.501096986</v>
      </c>
      <c r="DE216" s="39">
        <f t="shared" si="280"/>
        <v>4034</v>
      </c>
      <c r="DF216" s="39">
        <f t="shared" si="280"/>
        <v>4955</v>
      </c>
      <c r="DG216" s="39">
        <f t="shared" si="280"/>
        <v>5265</v>
      </c>
      <c r="DH216" s="39">
        <f t="shared" si="280"/>
        <v>4779</v>
      </c>
      <c r="DI216" s="39">
        <f t="shared" si="280"/>
        <v>5185</v>
      </c>
      <c r="DJ216" s="243">
        <f t="shared" si="280"/>
        <v>81944</v>
      </c>
      <c r="DK216" s="39">
        <f t="shared" si="280"/>
        <v>74962473.53227586</v>
      </c>
      <c r="DL216" s="39">
        <f t="shared" si="280"/>
        <v>92077108.66445881</v>
      </c>
      <c r="DM216" s="39">
        <f t="shared" si="280"/>
        <v>97837735.03902636</v>
      </c>
      <c r="DN216" s="39">
        <f t="shared" si="280"/>
        <v>88806559.4969624</v>
      </c>
      <c r="DO216" s="39">
        <f t="shared" si="280"/>
        <v>96351121.78107345</v>
      </c>
      <c r="DP216" s="243">
        <f t="shared" si="280"/>
        <v>1522737960.1211731</v>
      </c>
      <c r="DQ216" s="39">
        <f>DK216+Commerical!I214</f>
        <v>209741470.16806436</v>
      </c>
      <c r="DR216" s="39">
        <f>DL216+Commerical!J214</f>
        <v>170727691.37918943</v>
      </c>
      <c r="DS216" s="39">
        <f>DM216+Commerical!K214</f>
        <v>185271289.2668584</v>
      </c>
      <c r="DT216" s="39">
        <f>DN216+Commerical!L214</f>
        <v>159946942.96200648</v>
      </c>
      <c r="DU216" s="39">
        <f>DO216+Commerical!M214</f>
        <v>208650094.40012348</v>
      </c>
      <c r="DV216" s="243">
        <f>DP216+Commerical!N214</f>
        <v>1640288171.946233</v>
      </c>
      <c r="DW216" s="39"/>
      <c r="DX216" s="39"/>
      <c r="DY216" s="38"/>
      <c r="DZ216" s="38"/>
      <c r="EA216" s="546"/>
      <c r="EB216" s="38"/>
      <c r="EC216" s="38"/>
      <c r="ED216" s="38"/>
    </row>
    <row r="217" spans="1:134" ht="12.75">
      <c r="A217" s="408" t="s">
        <v>711</v>
      </c>
      <c r="B217" s="29"/>
      <c r="C217" s="41"/>
      <c r="D217" s="41"/>
      <c r="E217" s="41"/>
      <c r="F217" s="41"/>
      <c r="G217" s="235"/>
      <c r="H217" s="41"/>
      <c r="I217" s="205"/>
      <c r="J217" s="205"/>
      <c r="K217" s="205"/>
      <c r="L217" s="205"/>
      <c r="M217" s="205"/>
      <c r="N217" s="205"/>
      <c r="O217" s="205"/>
      <c r="P217" s="205"/>
      <c r="Q217" s="205"/>
      <c r="R217" s="271"/>
      <c r="S217" s="205"/>
      <c r="T217" s="205"/>
      <c r="U217" s="205"/>
      <c r="V217" s="205"/>
      <c r="W217" s="205"/>
      <c r="X217" s="216"/>
      <c r="Y217" s="205">
        <v>1857</v>
      </c>
      <c r="Z217" s="41">
        <v>1832</v>
      </c>
      <c r="AA217" s="41">
        <v>2199</v>
      </c>
      <c r="AB217" s="397">
        <v>3871</v>
      </c>
      <c r="AC217" s="397">
        <v>4631</v>
      </c>
      <c r="AD217" s="41">
        <v>4043</v>
      </c>
      <c r="AE217" s="616"/>
      <c r="AF217" s="205"/>
      <c r="AG217" s="205"/>
      <c r="AH217" s="205"/>
      <c r="AI217" s="205"/>
      <c r="AJ217" s="205"/>
      <c r="AK217" s="205"/>
      <c r="AL217" s="205"/>
      <c r="AM217" s="41"/>
      <c r="AN217" s="41"/>
      <c r="AO217" s="41"/>
      <c r="AP217" s="38"/>
      <c r="AQ217" s="38"/>
      <c r="AR217" s="38"/>
      <c r="AS217" s="205"/>
      <c r="AT217" s="205"/>
      <c r="AU217" s="205"/>
      <c r="AV217" s="235"/>
      <c r="AW217" s="41"/>
      <c r="AX217" s="41"/>
      <c r="AY217" s="41"/>
      <c r="AZ217" s="41"/>
      <c r="BA217" s="41"/>
      <c r="BB217" s="237"/>
      <c r="BC217" s="41"/>
      <c r="BD217" s="41"/>
      <c r="BE217" s="210"/>
      <c r="BF217" s="41"/>
      <c r="BG217" s="41"/>
      <c r="BH217" s="237"/>
      <c r="BI217" s="41"/>
      <c r="BJ217" s="41"/>
      <c r="BK217" s="41"/>
      <c r="BL217" s="41"/>
      <c r="BM217" s="41"/>
      <c r="BN217" s="216"/>
      <c r="BO217" s="205"/>
      <c r="BP217" s="205"/>
      <c r="BQ217" s="205"/>
      <c r="BR217" s="205"/>
      <c r="BS217" s="398"/>
      <c r="BT217" s="216"/>
      <c r="BU217" s="205">
        <v>6136</v>
      </c>
      <c r="BV217" s="205">
        <v>5404</v>
      </c>
      <c r="BW217" s="205">
        <v>5420</v>
      </c>
      <c r="BX217" s="401">
        <v>4564</v>
      </c>
      <c r="BY217" s="401">
        <v>2494</v>
      </c>
      <c r="BZ217" s="235">
        <v>4002</v>
      </c>
      <c r="CA217" s="41"/>
      <c r="CB217" s="41"/>
      <c r="CC217" s="205"/>
      <c r="CD217" s="205"/>
      <c r="CE217" s="205"/>
      <c r="CF217" s="205"/>
      <c r="CG217" s="205"/>
      <c r="CH217" s="205"/>
      <c r="CI217" s="39"/>
      <c r="CJ217" s="41"/>
      <c r="CK217" s="41"/>
      <c r="CL217" s="38"/>
      <c r="CM217" s="38"/>
      <c r="CN217" s="38"/>
      <c r="CO217" s="39"/>
      <c r="CP217" s="205"/>
      <c r="CQ217" s="205"/>
      <c r="CR217" s="282"/>
      <c r="CS217" s="41">
        <f t="shared" si="278"/>
        <v>6136</v>
      </c>
      <c r="CT217" s="41">
        <f t="shared" si="278"/>
        <v>5404</v>
      </c>
      <c r="CU217" s="41">
        <f t="shared" si="278"/>
        <v>5420</v>
      </c>
      <c r="CV217" s="41">
        <f t="shared" si="278"/>
        <v>4564</v>
      </c>
      <c r="CW217" s="41">
        <f t="shared" si="278"/>
        <v>2494</v>
      </c>
      <c r="CX217" s="237">
        <f t="shared" si="278"/>
        <v>4002</v>
      </c>
      <c r="CY217" s="41"/>
      <c r="CZ217" s="41"/>
      <c r="DA217" s="41"/>
      <c r="DB217" s="41"/>
      <c r="DC217" s="41"/>
      <c r="DD217" s="237"/>
      <c r="DE217" s="41"/>
      <c r="DF217" s="39"/>
      <c r="DG217" s="39"/>
      <c r="DH217" s="39"/>
      <c r="DI217" s="39"/>
      <c r="DJ217" s="243"/>
      <c r="DK217" s="39"/>
      <c r="DL217" s="39"/>
      <c r="DM217" s="39"/>
      <c r="DN217" s="39"/>
      <c r="DO217" s="39"/>
      <c r="DP217" s="243"/>
      <c r="DQ217" s="39"/>
      <c r="DR217" s="39"/>
      <c r="DS217" s="39"/>
      <c r="DT217" s="39"/>
      <c r="DU217" s="39"/>
      <c r="DV217" s="243"/>
      <c r="DW217" s="39"/>
      <c r="DX217" s="39"/>
      <c r="DY217" s="38"/>
      <c r="DZ217" s="38"/>
      <c r="EA217" s="546"/>
      <c r="EB217" s="38"/>
      <c r="EC217" s="38"/>
      <c r="ED217" s="38"/>
    </row>
    <row r="218" spans="1:134" ht="12.75">
      <c r="A218" s="408" t="s">
        <v>710</v>
      </c>
      <c r="B218" s="29"/>
      <c r="C218" s="41"/>
      <c r="D218" s="41"/>
      <c r="E218" s="41"/>
      <c r="F218" s="41"/>
      <c r="G218" s="235"/>
      <c r="H218" s="41"/>
      <c r="I218" s="205"/>
      <c r="J218" s="205"/>
      <c r="K218" s="205"/>
      <c r="L218" s="205"/>
      <c r="M218" s="205"/>
      <c r="N218" s="205"/>
      <c r="O218" s="205"/>
      <c r="P218" s="205"/>
      <c r="Q218" s="205"/>
      <c r="R218" s="271"/>
      <c r="S218" s="205"/>
      <c r="T218" s="205"/>
      <c r="U218" s="205"/>
      <c r="V218" s="205"/>
      <c r="W218" s="205"/>
      <c r="X218" s="216"/>
      <c r="Y218" s="205">
        <v>210</v>
      </c>
      <c r="Z218" s="41">
        <v>163</v>
      </c>
      <c r="AA218" s="41">
        <v>265</v>
      </c>
      <c r="AB218" s="398">
        <v>211</v>
      </c>
      <c r="AC218" s="398">
        <v>280</v>
      </c>
      <c r="AD218" s="41">
        <v>312</v>
      </c>
      <c r="AE218" s="616"/>
      <c r="AF218" s="205"/>
      <c r="AG218" s="205"/>
      <c r="AH218" s="205"/>
      <c r="AI218" s="205"/>
      <c r="AJ218" s="205"/>
      <c r="AK218" s="205"/>
      <c r="AL218" s="205"/>
      <c r="AM218" s="41"/>
      <c r="AN218" s="41"/>
      <c r="AO218" s="41"/>
      <c r="AP218" s="38"/>
      <c r="AQ218" s="38"/>
      <c r="AR218" s="38"/>
      <c r="AS218" s="205"/>
      <c r="AT218" s="205"/>
      <c r="AU218" s="205"/>
      <c r="AV218" s="235"/>
      <c r="AW218" s="41"/>
      <c r="AX218" s="41"/>
      <c r="AY218" s="41"/>
      <c r="AZ218" s="41"/>
      <c r="BA218" s="41"/>
      <c r="BB218" s="237"/>
      <c r="BC218" s="41"/>
      <c r="BD218" s="41"/>
      <c r="BE218" s="210"/>
      <c r="BF218" s="41"/>
      <c r="BG218" s="41"/>
      <c r="BH218" s="237"/>
      <c r="BI218" s="41"/>
      <c r="BJ218" s="41"/>
      <c r="BK218" s="41"/>
      <c r="BL218" s="41"/>
      <c r="BM218" s="41"/>
      <c r="BN218" s="216"/>
      <c r="BO218" s="205"/>
      <c r="BP218" s="205"/>
      <c r="BQ218" s="205"/>
      <c r="BR218" s="205"/>
      <c r="BS218" s="398"/>
      <c r="BT218" s="216"/>
      <c r="BU218" s="205">
        <v>1857</v>
      </c>
      <c r="BV218" s="205">
        <v>1092</v>
      </c>
      <c r="BW218" s="205">
        <v>1152</v>
      </c>
      <c r="BX218" s="401">
        <v>1387</v>
      </c>
      <c r="BY218" s="401">
        <v>1831</v>
      </c>
      <c r="BZ218" s="235">
        <v>1830</v>
      </c>
      <c r="CA218" s="41"/>
      <c r="CB218" s="41"/>
      <c r="CC218" s="205"/>
      <c r="CD218" s="205"/>
      <c r="CE218" s="205"/>
      <c r="CF218" s="205"/>
      <c r="CG218" s="205"/>
      <c r="CH218" s="205"/>
      <c r="CI218" s="39"/>
      <c r="CJ218" s="41"/>
      <c r="CK218" s="41"/>
      <c r="CL218" s="38"/>
      <c r="CM218" s="38"/>
      <c r="CN218" s="38"/>
      <c r="CO218" s="39"/>
      <c r="CP218" s="205"/>
      <c r="CQ218" s="205"/>
      <c r="CR218" s="282"/>
      <c r="CS218" s="41">
        <f t="shared" si="278"/>
        <v>1857</v>
      </c>
      <c r="CT218" s="41">
        <f t="shared" si="278"/>
        <v>1092</v>
      </c>
      <c r="CU218" s="41">
        <f t="shared" si="278"/>
        <v>1152</v>
      </c>
      <c r="CV218" s="41">
        <f t="shared" si="278"/>
        <v>1387</v>
      </c>
      <c r="CW218" s="41">
        <f t="shared" si="278"/>
        <v>1831</v>
      </c>
      <c r="CX218" s="237">
        <f t="shared" si="278"/>
        <v>1830</v>
      </c>
      <c r="CY218" s="41"/>
      <c r="CZ218" s="41"/>
      <c r="DA218" s="41"/>
      <c r="DB218" s="41"/>
      <c r="DC218" s="41"/>
      <c r="DD218" s="237"/>
      <c r="DE218" s="41"/>
      <c r="DF218" s="39"/>
      <c r="DG218" s="39"/>
      <c r="DH218" s="39"/>
      <c r="DI218" s="39"/>
      <c r="DJ218" s="243"/>
      <c r="DK218" s="39"/>
      <c r="DL218" s="39"/>
      <c r="DM218" s="39"/>
      <c r="DN218" s="39"/>
      <c r="DO218" s="39"/>
      <c r="DP218" s="243"/>
      <c r="DQ218" s="39"/>
      <c r="DR218" s="39"/>
      <c r="DS218" s="39"/>
      <c r="DT218" s="39"/>
      <c r="DU218" s="39"/>
      <c r="DV218" s="243"/>
      <c r="DW218" s="39"/>
      <c r="DX218" s="39"/>
      <c r="DY218" s="38"/>
      <c r="DZ218" s="38"/>
      <c r="EA218" s="546"/>
      <c r="EB218" s="38"/>
      <c r="EC218" s="38"/>
      <c r="ED218" s="38"/>
    </row>
    <row r="219" spans="1:134" ht="13.5" thickBot="1">
      <c r="A219" s="408" t="s">
        <v>709</v>
      </c>
      <c r="B219" s="29">
        <f>B216</f>
        <v>0.11863866328675503</v>
      </c>
      <c r="C219" s="41"/>
      <c r="D219" s="41"/>
      <c r="E219" s="41"/>
      <c r="F219" s="41"/>
      <c r="G219" s="235"/>
      <c r="H219" s="41"/>
      <c r="I219" s="205"/>
      <c r="J219" s="205"/>
      <c r="K219" s="205"/>
      <c r="L219" s="205"/>
      <c r="M219" s="205"/>
      <c r="N219" s="205"/>
      <c r="O219" s="205"/>
      <c r="P219" s="205"/>
      <c r="Q219" s="205"/>
      <c r="R219" s="271"/>
      <c r="S219" s="205"/>
      <c r="T219" s="205"/>
      <c r="U219" s="205"/>
      <c r="V219" s="205"/>
      <c r="W219" s="205"/>
      <c r="X219" s="216"/>
      <c r="Y219" s="205">
        <v>22614</v>
      </c>
      <c r="Z219" s="205">
        <v>22736</v>
      </c>
      <c r="AA219" s="205">
        <v>21033</v>
      </c>
      <c r="AB219" s="397">
        <v>21263</v>
      </c>
      <c r="AC219" s="397">
        <v>20034</v>
      </c>
      <c r="AD219" s="41">
        <v>19429</v>
      </c>
      <c r="AE219" s="616"/>
      <c r="AF219" s="205"/>
      <c r="AG219" s="205"/>
      <c r="AH219" s="205"/>
      <c r="AI219" s="205"/>
      <c r="AJ219" s="205"/>
      <c r="AK219" s="205"/>
      <c r="AL219" s="205"/>
      <c r="AM219" s="41"/>
      <c r="AN219" s="41"/>
      <c r="AO219" s="41"/>
      <c r="AP219" s="38"/>
      <c r="AQ219" s="38"/>
      <c r="AR219" s="38"/>
      <c r="AS219" s="205"/>
      <c r="AT219" s="205"/>
      <c r="AU219" s="205"/>
      <c r="AV219" s="235"/>
      <c r="AW219" s="41">
        <f aca="true" t="shared" si="281" ref="AW219:BA220">C219+Y219</f>
        <v>22614</v>
      </c>
      <c r="AX219" s="41">
        <f t="shared" si="281"/>
        <v>22736</v>
      </c>
      <c r="AY219" s="41">
        <f t="shared" si="281"/>
        <v>21033</v>
      </c>
      <c r="AZ219" s="41">
        <f t="shared" si="281"/>
        <v>21263</v>
      </c>
      <c r="BA219" s="41">
        <f t="shared" si="281"/>
        <v>20034</v>
      </c>
      <c r="BB219" s="237">
        <f>R219+AD219</f>
        <v>19429</v>
      </c>
      <c r="BC219" s="41">
        <f aca="true" t="shared" si="282" ref="BC219:BH220">AW219*1000/0.45359237/$B219</f>
        <v>420228402.6918409</v>
      </c>
      <c r="BD219" s="41">
        <f t="shared" si="282"/>
        <v>422495487.9102191</v>
      </c>
      <c r="BE219" s="41">
        <f t="shared" si="282"/>
        <v>390849208.1815464</v>
      </c>
      <c r="BF219" s="41">
        <f t="shared" si="282"/>
        <v>395123221.298161</v>
      </c>
      <c r="BG219" s="41">
        <f t="shared" si="282"/>
        <v>372285125.12285936</v>
      </c>
      <c r="BH219" s="237">
        <f t="shared" si="282"/>
        <v>361042612.3595904</v>
      </c>
      <c r="BI219" s="41"/>
      <c r="BJ219" s="41"/>
      <c r="BK219" s="41"/>
      <c r="BL219" s="41"/>
      <c r="BM219" s="41"/>
      <c r="BN219" s="216"/>
      <c r="BO219" s="205"/>
      <c r="BP219" s="205"/>
      <c r="BQ219" s="205"/>
      <c r="BR219" s="205"/>
      <c r="BS219" s="205"/>
      <c r="BT219" s="216"/>
      <c r="BU219" s="205"/>
      <c r="BV219" s="286"/>
      <c r="BW219" s="205"/>
      <c r="BX219" s="286"/>
      <c r="BY219" s="286"/>
      <c r="BZ219" s="235"/>
      <c r="CA219" s="41"/>
      <c r="CB219" s="41"/>
      <c r="CC219" s="205"/>
      <c r="CD219" s="205"/>
      <c r="CE219" s="205"/>
      <c r="CF219" s="205"/>
      <c r="CG219" s="205"/>
      <c r="CH219" s="205"/>
      <c r="CI219" s="39"/>
      <c r="CJ219" s="41"/>
      <c r="CK219" s="41"/>
      <c r="CL219" s="38"/>
      <c r="CM219" s="38"/>
      <c r="CN219" s="38"/>
      <c r="CO219" s="39"/>
      <c r="CP219" s="205"/>
      <c r="CQ219" s="205"/>
      <c r="CR219" s="282"/>
      <c r="CS219" s="205"/>
      <c r="CT219" s="41"/>
      <c r="CU219" s="41"/>
      <c r="CV219" s="41"/>
      <c r="CW219" s="41"/>
      <c r="CX219" s="237"/>
      <c r="CY219" s="41"/>
      <c r="CZ219" s="41"/>
      <c r="DA219" s="41"/>
      <c r="DB219" s="41"/>
      <c r="DC219" s="41"/>
      <c r="DD219" s="237"/>
      <c r="DE219" s="41"/>
      <c r="DF219" s="39"/>
      <c r="DG219" s="39"/>
      <c r="DH219" s="39"/>
      <c r="DI219" s="39"/>
      <c r="DJ219" s="243"/>
      <c r="DK219" s="39"/>
      <c r="DL219" s="39"/>
      <c r="DM219" s="39"/>
      <c r="DN219" s="39"/>
      <c r="DO219" s="39"/>
      <c r="DP219" s="243"/>
      <c r="DQ219" s="39"/>
      <c r="DR219" s="39"/>
      <c r="DS219" s="39"/>
      <c r="DT219" s="39"/>
      <c r="DU219" s="39"/>
      <c r="DV219" s="243"/>
      <c r="DW219" s="38"/>
      <c r="DX219" s="39"/>
      <c r="DY219" s="38"/>
      <c r="DZ219" s="38"/>
      <c r="EA219" s="546"/>
      <c r="EB219" s="38"/>
      <c r="EC219" s="38"/>
      <c r="ED219" s="38"/>
    </row>
    <row r="220" spans="1:134" ht="13.5" thickBot="1">
      <c r="A220" s="241" t="s">
        <v>784</v>
      </c>
      <c r="B220" s="29">
        <f>B216</f>
        <v>0.11863866328675503</v>
      </c>
      <c r="C220" s="41"/>
      <c r="D220" s="41"/>
      <c r="E220" s="41"/>
      <c r="F220" s="41"/>
      <c r="G220" s="235"/>
      <c r="H220" s="41"/>
      <c r="I220" s="205"/>
      <c r="J220" s="205"/>
      <c r="K220" s="205"/>
      <c r="L220" s="205"/>
      <c r="M220" s="205"/>
      <c r="N220" s="205"/>
      <c r="O220" s="205"/>
      <c r="P220" s="205"/>
      <c r="Q220" s="205"/>
      <c r="R220" s="271"/>
      <c r="S220" s="205"/>
      <c r="T220" s="492"/>
      <c r="U220" s="492"/>
      <c r="V220" s="205"/>
      <c r="W220" s="205"/>
      <c r="X220" s="216"/>
      <c r="Y220" s="397">
        <f>15134*SUM(AW159:AW216)/SUM(AW4:AW151,AW159:AW216)</f>
        <v>5859.502074318336</v>
      </c>
      <c r="Z220" s="397">
        <f>13759*SUM(AX159:AX216)/SUM(AX4:AX151,AX159:AX216)</f>
        <v>4936.729450774814</v>
      </c>
      <c r="AA220" s="397">
        <f>11660*SUM(AY159:AY216)/SUM(AY4:AY151,AY159:AY216)</f>
        <v>4381.899586319054</v>
      </c>
      <c r="AB220" s="397">
        <f>13903*SUM(AZ159:AZ216)/SUM(AZ4:AZ151,AZ159:AZ216)</f>
        <v>5289.3705429866395</v>
      </c>
      <c r="AC220" s="397">
        <f>11312*SUM(BA159:BA216)/SUM(BA4:BA151,BA159:BA216)</f>
        <v>4421.754640659955</v>
      </c>
      <c r="AD220" s="41">
        <f>11439*SUM(BB159:BB216)/SUM(BB4:BB151,BB159:BB216)</f>
        <v>4714.111090498068</v>
      </c>
      <c r="AE220" s="616"/>
      <c r="AF220" s="205"/>
      <c r="AG220" s="205"/>
      <c r="AH220" s="205"/>
      <c r="AI220" s="205"/>
      <c r="AJ220" s="205"/>
      <c r="AK220" s="205"/>
      <c r="AL220" s="205"/>
      <c r="AM220" s="41"/>
      <c r="AN220" s="41"/>
      <c r="AO220" s="41"/>
      <c r="AP220" s="38"/>
      <c r="AQ220" s="38"/>
      <c r="AR220" s="38"/>
      <c r="AS220" s="205"/>
      <c r="AT220" s="205"/>
      <c r="AU220" s="205"/>
      <c r="AV220" s="235"/>
      <c r="AW220" s="41">
        <f t="shared" si="281"/>
        <v>5859.502074318336</v>
      </c>
      <c r="AX220" s="41">
        <f t="shared" si="281"/>
        <v>4936.729450774814</v>
      </c>
      <c r="AY220" s="41">
        <f t="shared" si="281"/>
        <v>4381.899586319054</v>
      </c>
      <c r="AZ220" s="41">
        <f t="shared" si="281"/>
        <v>5289.3705429866395</v>
      </c>
      <c r="BA220" s="41">
        <f t="shared" si="281"/>
        <v>4421.754640659955</v>
      </c>
      <c r="BB220" s="237">
        <f>R220+AD220</f>
        <v>4714.111090498068</v>
      </c>
      <c r="BC220" s="41">
        <f t="shared" si="282"/>
        <v>108885168.35855325</v>
      </c>
      <c r="BD220" s="41">
        <f t="shared" si="282"/>
        <v>91737593.1556058</v>
      </c>
      <c r="BE220" s="41">
        <f t="shared" si="282"/>
        <v>81427375.25050385</v>
      </c>
      <c r="BF220" s="41">
        <f t="shared" si="282"/>
        <v>98290604.6928695</v>
      </c>
      <c r="BG220" s="41">
        <f t="shared" si="282"/>
        <v>82167988.40274909</v>
      </c>
      <c r="BH220" s="237">
        <f t="shared" si="282"/>
        <v>87600750.58246641</v>
      </c>
      <c r="BI220" s="41"/>
      <c r="BJ220" s="41"/>
      <c r="BK220" s="260"/>
      <c r="BL220" s="41"/>
      <c r="BM220" s="41"/>
      <c r="BN220" s="509"/>
      <c r="BO220" s="205"/>
      <c r="BP220" s="205"/>
      <c r="BQ220" s="205"/>
      <c r="BR220" s="205"/>
      <c r="BS220" s="205"/>
      <c r="BT220" s="509"/>
      <c r="BU220" s="345">
        <f>287*SUM(CS159:CS216)/SUM(CS4:CS151,CS159:CS216)</f>
        <v>55.46322328367527</v>
      </c>
      <c r="BV220" s="345">
        <f>297*SUM(CT159:CT216)/SUM(CT4:CT151,CT159:CT216)</f>
        <v>57.45561352689656</v>
      </c>
      <c r="BW220" s="345">
        <f>324*SUM(CU159:CU216)/SUM(CU4:CU151,CU159:CU216)</f>
        <v>52.202485943234784</v>
      </c>
      <c r="BX220" s="345">
        <f>657*SUM(CV159:CV216)/SUM(CV4:CV151,CV159:CV216)</f>
        <v>81.59122789334889</v>
      </c>
      <c r="BY220" s="345">
        <f>426*SUM(CW159:CW216)/SUM(CW4:CW151,CW159:CW216)</f>
        <v>46.6518488294552</v>
      </c>
      <c r="BZ220" s="235">
        <f>525*SUM(CX159:CX216)/SUM(CX4:CX151,CX159:CX216)</f>
        <v>81.0417425095249</v>
      </c>
      <c r="CA220" s="41"/>
      <c r="CB220" s="260"/>
      <c r="CC220" s="492"/>
      <c r="CD220" s="492"/>
      <c r="CE220" s="492"/>
      <c r="CF220" s="492"/>
      <c r="CG220" s="205"/>
      <c r="CH220" s="205"/>
      <c r="CI220" s="39"/>
      <c r="CJ220" s="41"/>
      <c r="CK220" s="41"/>
      <c r="CL220" s="38"/>
      <c r="CM220" s="38"/>
      <c r="CN220" s="38"/>
      <c r="CO220" s="39"/>
      <c r="CP220" s="205"/>
      <c r="CQ220" s="205"/>
      <c r="CR220" s="282"/>
      <c r="CS220" s="41">
        <f aca="true" t="shared" si="283" ref="CS220:CX220">BI220+BU220</f>
        <v>55.46322328367527</v>
      </c>
      <c r="CT220" s="41">
        <f t="shared" si="283"/>
        <v>57.45561352689656</v>
      </c>
      <c r="CU220" s="260">
        <f t="shared" si="283"/>
        <v>52.202485943234784</v>
      </c>
      <c r="CV220" s="41">
        <f t="shared" si="283"/>
        <v>81.59122789334889</v>
      </c>
      <c r="CW220" s="41">
        <f t="shared" si="283"/>
        <v>46.6518488294552</v>
      </c>
      <c r="CX220" s="237">
        <f t="shared" si="283"/>
        <v>81.0417425095249</v>
      </c>
      <c r="CY220" s="41">
        <f aca="true" t="shared" si="284" ref="CY220:DD220">CS220*1000/0.45359237/$B220</f>
        <v>1030654.5382789323</v>
      </c>
      <c r="CZ220" s="41">
        <f t="shared" si="284"/>
        <v>1067678.4601612927</v>
      </c>
      <c r="DA220" s="41">
        <f t="shared" si="284"/>
        <v>970061.3462664203</v>
      </c>
      <c r="DB220" s="41">
        <f t="shared" si="284"/>
        <v>1516182.5139863791</v>
      </c>
      <c r="DC220" s="41">
        <f t="shared" si="284"/>
        <v>866915.7122235424</v>
      </c>
      <c r="DD220" s="237">
        <f t="shared" si="284"/>
        <v>1505971.6107783278</v>
      </c>
      <c r="DE220" s="39">
        <f aca="true" t="shared" si="285" ref="DE220:DP220">AW220-CS220</f>
        <v>5804.03885103466</v>
      </c>
      <c r="DF220" s="39">
        <f t="shared" si="285"/>
        <v>4879.273837247917</v>
      </c>
      <c r="DG220" s="39">
        <f t="shared" si="285"/>
        <v>4329.697100375819</v>
      </c>
      <c r="DH220" s="39">
        <f t="shared" si="285"/>
        <v>5207.77931509329</v>
      </c>
      <c r="DI220" s="39">
        <f t="shared" si="285"/>
        <v>4375.1027918305</v>
      </c>
      <c r="DJ220" s="243">
        <f t="shared" si="285"/>
        <v>4633.069347988543</v>
      </c>
      <c r="DK220" s="39">
        <f t="shared" si="285"/>
        <v>107854513.82027431</v>
      </c>
      <c r="DL220" s="39">
        <f t="shared" si="285"/>
        <v>90669914.6954445</v>
      </c>
      <c r="DM220" s="256">
        <f t="shared" si="285"/>
        <v>80457313.90423743</v>
      </c>
      <c r="DN220" s="256">
        <f t="shared" si="285"/>
        <v>96774422.17888312</v>
      </c>
      <c r="DO220" s="256">
        <f t="shared" si="285"/>
        <v>81301072.69052555</v>
      </c>
      <c r="DP220" s="257">
        <f t="shared" si="285"/>
        <v>86094778.97168808</v>
      </c>
      <c r="DQ220" s="39">
        <f>DK220+Commerical!I218</f>
        <v>107854513.82027431</v>
      </c>
      <c r="DR220" s="39">
        <f>DL220+Commerical!J218</f>
        <v>90669914.6954445</v>
      </c>
      <c r="DS220" s="39">
        <f>DM220+Commerical!K218</f>
        <v>80457313.90423743</v>
      </c>
      <c r="DT220" s="39">
        <f>DN220+Commerical!L218</f>
        <v>96774422.17888312</v>
      </c>
      <c r="DU220" s="39">
        <f>DO220+Commerical!M218</f>
        <v>81301072.69052555</v>
      </c>
      <c r="DV220" s="243">
        <f>DP220+Commerical!N218</f>
        <v>86094778.97168808</v>
      </c>
      <c r="DW220" s="267" t="s">
        <v>763</v>
      </c>
      <c r="DX220" s="39"/>
      <c r="DY220" s="38"/>
      <c r="DZ220" s="38"/>
      <c r="EA220" s="546"/>
      <c r="EB220" s="38"/>
      <c r="EC220" s="38"/>
      <c r="ED220" s="38"/>
    </row>
    <row r="221" spans="1:134" ht="13.5" thickBot="1">
      <c r="A221" s="371" t="s">
        <v>492</v>
      </c>
      <c r="B221" s="346"/>
      <c r="C221" s="281">
        <f>SUM(C159:C216,C220)</f>
        <v>883855</v>
      </c>
      <c r="D221" s="231">
        <f>SUM(D159:D216,D220)</f>
        <v>837434</v>
      </c>
      <c r="E221" s="231">
        <f>SUM(E159:E216,E220)</f>
        <v>825010</v>
      </c>
      <c r="F221" s="231">
        <f>SUM(F159:F216,F220)</f>
        <v>840533</v>
      </c>
      <c r="G221" s="355">
        <f>SUM(G159:G216,G220)</f>
        <v>856827</v>
      </c>
      <c r="H221" s="231"/>
      <c r="I221" s="647"/>
      <c r="J221" s="647"/>
      <c r="K221" s="647"/>
      <c r="L221" s="647"/>
      <c r="M221" s="647"/>
      <c r="N221" s="647"/>
      <c r="O221" s="647"/>
      <c r="P221" s="647"/>
      <c r="Q221" s="647"/>
      <c r="R221" s="300">
        <f>SUM(R159:R216,R220)</f>
        <v>897538</v>
      </c>
      <c r="S221" s="231"/>
      <c r="T221" s="231"/>
      <c r="U221" s="231"/>
      <c r="V221" s="647"/>
      <c r="W221" s="647"/>
      <c r="X221" s="648"/>
      <c r="Y221" s="231">
        <f>SUM(Y159:Y216,Y220)</f>
        <v>59374.502074318334</v>
      </c>
      <c r="Z221" s="231">
        <v>105280</v>
      </c>
      <c r="AA221" s="231">
        <v>94647</v>
      </c>
      <c r="AB221" s="231">
        <f>SUM(AB159:AB216,AB220)</f>
        <v>57785.37054298664</v>
      </c>
      <c r="AC221" s="231">
        <f>SUM(AC159:AC216,AC220)</f>
        <v>56020.75464065996</v>
      </c>
      <c r="AD221" s="231">
        <f>SUM(AD159:AD216,AD220)</f>
        <v>129638.11109049807</v>
      </c>
      <c r="AE221" s="281"/>
      <c r="AF221" s="647"/>
      <c r="AG221" s="647"/>
      <c r="AH221" s="647"/>
      <c r="AI221" s="647"/>
      <c r="AJ221" s="647"/>
      <c r="AK221" s="647"/>
      <c r="AL221" s="647"/>
      <c r="AM221" s="649"/>
      <c r="AN221" s="649"/>
      <c r="AO221" s="649"/>
      <c r="AP221" s="650"/>
      <c r="AQ221" s="650"/>
      <c r="AR221" s="650"/>
      <c r="AS221" s="647"/>
      <c r="AT221" s="647"/>
      <c r="AU221" s="647"/>
      <c r="AV221" s="355"/>
      <c r="AW221" s="231">
        <f>SUM(AW159:AW216,AW220)</f>
        <v>943229.5020743184</v>
      </c>
      <c r="AX221" s="231">
        <f aca="true" t="shared" si="286" ref="AX221:BN221">SUM(AX159:AX216,AX220)</f>
        <v>895170.7294507748</v>
      </c>
      <c r="AY221" s="231">
        <f t="shared" si="286"/>
        <v>877665.8995863191</v>
      </c>
      <c r="AZ221" s="412">
        <f t="shared" si="286"/>
        <v>898318.3705429867</v>
      </c>
      <c r="BA221" s="412">
        <f t="shared" si="286"/>
        <v>921698.7546406599</v>
      </c>
      <c r="BB221" s="415">
        <f t="shared" si="286"/>
        <v>1027176.111090498</v>
      </c>
      <c r="BC221" s="231">
        <f>SUM(BC159:BC216,BC220)</f>
        <v>30745249882.680145</v>
      </c>
      <c r="BD221" s="231">
        <f t="shared" si="286"/>
        <v>29613981643.413795</v>
      </c>
      <c r="BE221" s="231">
        <f t="shared" si="286"/>
        <v>28878470967.98189</v>
      </c>
      <c r="BF221" s="231">
        <f t="shared" si="286"/>
        <v>28877553649.668972</v>
      </c>
      <c r="BG221" s="231">
        <f t="shared" si="286"/>
        <v>28641349306.13239</v>
      </c>
      <c r="BH221" s="415">
        <f t="shared" si="286"/>
        <v>32245605017.504265</v>
      </c>
      <c r="BI221" s="231">
        <f>SUM(BI159:BI216,BI220)</f>
        <v>253936</v>
      </c>
      <c r="BJ221" s="231">
        <f t="shared" si="286"/>
        <v>217837</v>
      </c>
      <c r="BK221" s="231">
        <f t="shared" si="286"/>
        <v>165400</v>
      </c>
      <c r="BL221" s="231">
        <f t="shared" si="286"/>
        <v>129797</v>
      </c>
      <c r="BM221" s="231">
        <f t="shared" si="286"/>
        <v>122840</v>
      </c>
      <c r="BN221" s="231">
        <f t="shared" si="286"/>
        <v>147204</v>
      </c>
      <c r="BO221" s="281"/>
      <c r="BP221" s="231"/>
      <c r="BQ221" s="231"/>
      <c r="BR221" s="231"/>
      <c r="BS221" s="231"/>
      <c r="BT221" s="355"/>
      <c r="BU221" s="231">
        <f aca="true" t="shared" si="287" ref="BU221:BZ221">SUM(BU159:BU216,BU220)</f>
        <v>4500.463223283676</v>
      </c>
      <c r="BV221" s="231">
        <f t="shared" si="287"/>
        <v>4449.455613526897</v>
      </c>
      <c r="BW221" s="231">
        <f t="shared" si="287"/>
        <v>5322.202485943235</v>
      </c>
      <c r="BX221" s="231">
        <f t="shared" si="287"/>
        <v>5708.591227893349</v>
      </c>
      <c r="BY221" s="231">
        <f t="shared" si="287"/>
        <v>5858.651848829455</v>
      </c>
      <c r="BZ221" s="355">
        <f t="shared" si="287"/>
        <v>5538.041742509525</v>
      </c>
      <c r="CA221" s="231"/>
      <c r="CB221" s="231"/>
      <c r="CC221" s="231"/>
      <c r="CD221" s="231"/>
      <c r="CE221" s="231"/>
      <c r="CF221" s="231"/>
      <c r="CG221" s="231"/>
      <c r="CH221" s="231"/>
      <c r="CI221" s="231"/>
      <c r="CJ221" s="231"/>
      <c r="CK221" s="231"/>
      <c r="CL221" s="231"/>
      <c r="CM221" s="231"/>
      <c r="CN221" s="231"/>
      <c r="CO221" s="231"/>
      <c r="CP221" s="231"/>
      <c r="CQ221" s="231"/>
      <c r="CR221" s="245"/>
      <c r="CS221" s="231">
        <f>SUM(CS159:CS216,CS220)</f>
        <v>258436.46322328367</v>
      </c>
      <c r="CT221" s="412">
        <f aca="true" t="shared" si="288" ref="CT221:DV221">SUM(CT159:CT216,CT220)</f>
        <v>222286.4556135269</v>
      </c>
      <c r="CU221" s="412">
        <f t="shared" si="288"/>
        <v>170722.20248594324</v>
      </c>
      <c r="CV221" s="412">
        <f t="shared" si="288"/>
        <v>135505.59122789334</v>
      </c>
      <c r="CW221" s="412">
        <f t="shared" si="288"/>
        <v>128698.65184882945</v>
      </c>
      <c r="CX221" s="415">
        <f t="shared" si="288"/>
        <v>152742.04174250952</v>
      </c>
      <c r="CY221" s="231">
        <f>SUM(CY159:CY216,CY220)</f>
        <v>3613517907.0398026</v>
      </c>
      <c r="CZ221" s="412">
        <f t="shared" si="288"/>
        <v>3051552340.5998926</v>
      </c>
      <c r="DA221" s="231">
        <f t="shared" si="288"/>
        <v>2494152837.144191</v>
      </c>
      <c r="DB221" s="231">
        <f t="shared" si="288"/>
        <v>2085909021.234991</v>
      </c>
      <c r="DC221" s="231">
        <f t="shared" si="288"/>
        <v>1993218458.8231854</v>
      </c>
      <c r="DD221" s="245">
        <f aca="true" t="shared" si="289" ref="DD221:DK221">SUM(DD159:DD216,DD220)</f>
        <v>2136141315.2572343</v>
      </c>
      <c r="DE221" s="231">
        <f t="shared" si="289"/>
        <v>684793.0388510347</v>
      </c>
      <c r="DF221" s="231">
        <f t="shared" si="289"/>
        <v>672884.2738372479</v>
      </c>
      <c r="DG221" s="231">
        <f t="shared" si="289"/>
        <v>706943.6971003758</v>
      </c>
      <c r="DH221" s="231">
        <f t="shared" si="289"/>
        <v>762812.7793150933</v>
      </c>
      <c r="DI221" s="231">
        <f t="shared" si="289"/>
        <v>793000.1027918305</v>
      </c>
      <c r="DJ221" s="245">
        <f t="shared" si="289"/>
        <v>874434.0693479886</v>
      </c>
      <c r="DK221" s="231">
        <f t="shared" si="289"/>
        <v>27131731975.640343</v>
      </c>
      <c r="DL221" s="231">
        <f t="shared" si="288"/>
        <v>26562429302.813904</v>
      </c>
      <c r="DM221" s="231">
        <f t="shared" si="288"/>
        <v>26384318130.8377</v>
      </c>
      <c r="DN221" s="231">
        <f t="shared" si="288"/>
        <v>26791644628.433975</v>
      </c>
      <c r="DO221" s="231">
        <f t="shared" si="288"/>
        <v>26648130847.309208</v>
      </c>
      <c r="DP221" s="245">
        <f t="shared" si="288"/>
        <v>30109463702.247036</v>
      </c>
      <c r="DQ221" s="231">
        <f>SUM(DQ159:DQ216,DQ220)</f>
        <v>38325058641.06659</v>
      </c>
      <c r="DR221" s="231">
        <f t="shared" si="288"/>
        <v>36839953619.14142</v>
      </c>
      <c r="DS221" s="231">
        <f t="shared" si="288"/>
        <v>37202066702.86055</v>
      </c>
      <c r="DT221" s="231">
        <f t="shared" si="288"/>
        <v>35563463181.0723</v>
      </c>
      <c r="DU221" s="231">
        <f t="shared" si="288"/>
        <v>36423142790.64751</v>
      </c>
      <c r="DV221" s="231">
        <f t="shared" si="288"/>
        <v>39702386445.64579</v>
      </c>
      <c r="DW221" s="284">
        <f>DQ221/DQ224</f>
        <v>0.7965658067710409</v>
      </c>
      <c r="DX221" s="39"/>
      <c r="DY221" s="38"/>
      <c r="EA221" s="546"/>
      <c r="EB221" s="38"/>
      <c r="EC221" s="38"/>
      <c r="ED221" s="38"/>
    </row>
    <row r="222" spans="1:134" ht="12.75">
      <c r="A222" s="38" t="s">
        <v>785</v>
      </c>
      <c r="B222" s="228"/>
      <c r="C222" s="210"/>
      <c r="D222" s="39"/>
      <c r="E222" s="230"/>
      <c r="F222" s="213"/>
      <c r="G222" s="213"/>
      <c r="H222" s="213"/>
      <c r="I222" s="205"/>
      <c r="J222" s="205"/>
      <c r="K222" s="205"/>
      <c r="L222" s="205"/>
      <c r="M222" s="205"/>
      <c r="N222" s="205"/>
      <c r="O222" s="205"/>
      <c r="P222" s="205"/>
      <c r="Q222" s="205"/>
      <c r="R222" s="213"/>
      <c r="S222" s="213"/>
      <c r="T222" s="213"/>
      <c r="U222" s="213"/>
      <c r="V222" s="205"/>
      <c r="W222" s="205"/>
      <c r="X222" s="205"/>
      <c r="Y222" s="205"/>
      <c r="Z222" s="205"/>
      <c r="AA222" s="205"/>
      <c r="AB222" s="213"/>
      <c r="AC222" s="213"/>
      <c r="AD222" s="213"/>
      <c r="AE222" s="213"/>
      <c r="AF222" s="205"/>
      <c r="AG222" s="205"/>
      <c r="AH222" s="205"/>
      <c r="AI222" s="205"/>
      <c r="AJ222" s="205"/>
      <c r="AK222" s="205"/>
      <c r="AL222" s="205"/>
      <c r="AM222" s="41"/>
      <c r="AN222" s="41"/>
      <c r="AO222" s="41"/>
      <c r="AP222" s="38"/>
      <c r="AQ222" s="38"/>
      <c r="AR222" s="38"/>
      <c r="AS222" s="205"/>
      <c r="AT222" s="205"/>
      <c r="AU222" s="205"/>
      <c r="AV222" s="41"/>
      <c r="AW222" s="41"/>
      <c r="AX222" s="41"/>
      <c r="AY222" s="41"/>
      <c r="AZ222" s="413"/>
      <c r="BA222" s="413"/>
      <c r="BB222" s="413"/>
      <c r="BC222" s="413"/>
      <c r="BD222" s="413"/>
      <c r="BE222" s="213"/>
      <c r="BF222" s="213"/>
      <c r="BG222" s="213"/>
      <c r="BH222" s="213"/>
      <c r="BI222" s="213"/>
      <c r="BJ222" s="213"/>
      <c r="BK222" s="213"/>
      <c r="BL222" s="401"/>
      <c r="BM222" s="401"/>
      <c r="BN222" s="41"/>
      <c r="BO222" s="41"/>
      <c r="BP222" s="41"/>
      <c r="BQ222" s="41"/>
      <c r="BR222" s="213"/>
      <c r="BS222" s="213"/>
      <c r="BT222" s="213"/>
      <c r="BU222" s="213"/>
      <c r="BV222" s="213"/>
      <c r="BW222" s="213"/>
      <c r="BX222" s="213"/>
      <c r="BY222" s="213"/>
      <c r="BZ222" s="213"/>
      <c r="CA222" s="213"/>
      <c r="CB222" s="213"/>
      <c r="CC222" s="213"/>
      <c r="CD222" s="213"/>
      <c r="CE222" s="213"/>
      <c r="CF222" s="213"/>
      <c r="CG222" s="213"/>
      <c r="CH222" s="213"/>
      <c r="CI222" s="213"/>
      <c r="CJ222" s="213"/>
      <c r="CK222" s="213"/>
      <c r="CL222" s="213"/>
      <c r="CM222" s="213"/>
      <c r="CN222" s="213"/>
      <c r="CO222" s="213"/>
      <c r="CP222" s="213"/>
      <c r="CQ222" s="213"/>
      <c r="CR222" s="213"/>
      <c r="CS222" s="213"/>
      <c r="CT222" s="413"/>
      <c r="CU222" s="413"/>
      <c r="CV222" s="413"/>
      <c r="CW222" s="413"/>
      <c r="CX222" s="413"/>
      <c r="CY222" s="413"/>
      <c r="CZ222" s="413"/>
      <c r="DA222" s="213"/>
      <c r="DB222" s="213"/>
      <c r="DC222" s="213"/>
      <c r="DD222" s="213"/>
      <c r="DE222" s="213"/>
      <c r="DF222" s="213"/>
      <c r="DG222" s="213"/>
      <c r="DH222" s="213"/>
      <c r="DI222" s="213"/>
      <c r="DJ222" s="213"/>
      <c r="DK222" s="213"/>
      <c r="DL222" s="213"/>
      <c r="DM222" s="213"/>
      <c r="DN222" s="213"/>
      <c r="DO222" s="213"/>
      <c r="DP222" s="213"/>
      <c r="DQ222" s="213"/>
      <c r="DR222" s="213"/>
      <c r="DS222" s="213"/>
      <c r="DT222" s="213"/>
      <c r="DU222" s="213"/>
      <c r="DV222" s="213"/>
      <c r="DW222" s="213"/>
      <c r="DX222" s="38"/>
      <c r="DY222" s="38"/>
      <c r="DZ222" s="38"/>
      <c r="EA222" s="546"/>
      <c r="EB222" s="38"/>
      <c r="EC222" s="38"/>
      <c r="ED222" s="38"/>
    </row>
    <row r="223" spans="1:133" ht="12.75">
      <c r="A223" s="38" t="s">
        <v>786</v>
      </c>
      <c r="B223" s="38"/>
      <c r="C223" s="39"/>
      <c r="D223" s="39">
        <v>4037</v>
      </c>
      <c r="E223" s="38">
        <v>3930</v>
      </c>
      <c r="F223" s="401">
        <f>3027+2</f>
        <v>3029</v>
      </c>
      <c r="G223" s="401">
        <f>3669+5</f>
        <v>3674</v>
      </c>
      <c r="H223" s="401"/>
      <c r="I223" s="205"/>
      <c r="J223" s="205"/>
      <c r="K223" s="205"/>
      <c r="L223" s="205"/>
      <c r="M223" s="205"/>
      <c r="N223" s="205"/>
      <c r="O223" s="205"/>
      <c r="P223" s="205"/>
      <c r="Q223" s="205"/>
      <c r="R223" s="205"/>
      <c r="S223" s="205"/>
      <c r="T223" s="205"/>
      <c r="U223" s="205"/>
      <c r="V223" s="205"/>
      <c r="W223" s="205"/>
      <c r="X223" s="205"/>
      <c r="Y223" s="205"/>
      <c r="Z223" s="205"/>
      <c r="AA223" s="205"/>
      <c r="AB223" s="205"/>
      <c r="AC223" s="38"/>
      <c r="AD223" s="41"/>
      <c r="AE223" s="41"/>
      <c r="AF223" s="205"/>
      <c r="AG223" s="205"/>
      <c r="AH223" s="205"/>
      <c r="AI223" s="205"/>
      <c r="AJ223" s="205"/>
      <c r="AK223" s="205"/>
      <c r="AL223" s="205"/>
      <c r="AM223" s="41"/>
      <c r="AN223" s="41"/>
      <c r="AO223" s="41"/>
      <c r="AP223" s="38"/>
      <c r="AQ223" s="38"/>
      <c r="AR223" s="38"/>
      <c r="AS223" s="205"/>
      <c r="AT223" s="205"/>
      <c r="AU223" s="205"/>
      <c r="AV223" s="41"/>
      <c r="AW223" s="41"/>
      <c r="AX223" s="41"/>
      <c r="AY223" s="41"/>
      <c r="AZ223" s="41"/>
      <c r="BA223" s="41"/>
      <c r="BB223" s="41"/>
      <c r="BC223" s="41"/>
      <c r="BD223" s="41"/>
      <c r="BE223" s="210"/>
      <c r="BF223" s="41"/>
      <c r="BG223" s="41"/>
      <c r="BH223" s="41"/>
      <c r="BI223" s="41"/>
      <c r="BJ223" s="41"/>
      <c r="BK223" s="41"/>
      <c r="BL223" s="205"/>
      <c r="BM223" s="205"/>
      <c r="BN223" s="205"/>
      <c r="BO223" s="205"/>
      <c r="BP223" s="205"/>
      <c r="BQ223" s="205"/>
      <c r="BT223" s="205"/>
      <c r="BU223" s="205"/>
      <c r="BV223" s="205"/>
      <c r="BW223" s="205"/>
      <c r="BX223" s="205"/>
      <c r="BY223" s="205"/>
      <c r="BZ223" s="41"/>
      <c r="CA223" s="41"/>
      <c r="CB223" s="41"/>
      <c r="CC223" s="205"/>
      <c r="CD223" s="205"/>
      <c r="CE223" s="205"/>
      <c r="CF223" s="205"/>
      <c r="CG223" s="205"/>
      <c r="CH223" s="205"/>
      <c r="CI223" s="39"/>
      <c r="CJ223" s="41"/>
      <c r="CK223" s="41"/>
      <c r="CL223" s="38"/>
      <c r="CM223" s="38"/>
      <c r="CN223" s="38"/>
      <c r="CO223" s="39"/>
      <c r="CP223" s="205"/>
      <c r="CQ223" s="205"/>
      <c r="CR223" s="205"/>
      <c r="CS223" s="205"/>
      <c r="CT223" s="41"/>
      <c r="CU223" s="41"/>
      <c r="CV223" s="41"/>
      <c r="CW223" s="41"/>
      <c r="CX223" s="41"/>
      <c r="CY223" s="41"/>
      <c r="CZ223" s="41"/>
      <c r="DA223" s="39"/>
      <c r="DB223" s="41"/>
      <c r="DC223" s="41"/>
      <c r="DD223" s="41"/>
      <c r="DE223" s="41"/>
      <c r="DF223" s="39"/>
      <c r="DG223" s="39"/>
      <c r="DH223" s="39"/>
      <c r="DI223" s="39"/>
      <c r="DJ223" s="39"/>
      <c r="DK223" s="39"/>
      <c r="DL223" s="39"/>
      <c r="DM223" s="39"/>
      <c r="DN223" s="39"/>
      <c r="DO223" s="39"/>
      <c r="DP223" s="39"/>
      <c r="DQ223" s="39"/>
      <c r="DR223" s="39"/>
      <c r="DS223" s="39"/>
      <c r="DT223" s="39"/>
      <c r="DU223" s="39"/>
      <c r="DV223" s="39"/>
      <c r="DW223" s="38"/>
      <c r="DX223" s="38"/>
      <c r="DY223" s="38"/>
      <c r="DZ223" s="38"/>
      <c r="EA223" s="546"/>
      <c r="EB223" s="38"/>
      <c r="EC223" s="38"/>
    </row>
    <row r="224" spans="1:133" ht="12.75">
      <c r="A224" s="232" t="s">
        <v>491</v>
      </c>
      <c r="B224" s="232"/>
      <c r="C224" s="233">
        <f>C221+C154+C223</f>
        <v>1355610</v>
      </c>
      <c r="D224" s="233">
        <f aca="true" t="shared" si="290" ref="D224:BG224">D221+D154</f>
        <v>1383078</v>
      </c>
      <c r="E224" s="233">
        <f t="shared" si="290"/>
        <v>1283364</v>
      </c>
      <c r="F224" s="233">
        <f t="shared" si="290"/>
        <v>1324666</v>
      </c>
      <c r="G224" s="233">
        <f t="shared" si="290"/>
        <v>1293624</v>
      </c>
      <c r="H224" s="233">
        <f>H221+H154+H223</f>
        <v>50482</v>
      </c>
      <c r="I224" s="233">
        <f t="shared" si="290"/>
        <v>49373</v>
      </c>
      <c r="J224" s="233">
        <f t="shared" si="290"/>
        <v>53028</v>
      </c>
      <c r="K224" s="233">
        <f t="shared" si="290"/>
        <v>50837</v>
      </c>
      <c r="L224" s="233">
        <f t="shared" si="290"/>
        <v>58635</v>
      </c>
      <c r="M224" s="233">
        <f>M221+M154+M223</f>
        <v>2566</v>
      </c>
      <c r="N224" s="233">
        <f t="shared" si="290"/>
        <v>46058</v>
      </c>
      <c r="O224" s="233">
        <f t="shared" si="290"/>
        <v>41195</v>
      </c>
      <c r="P224" s="233">
        <f t="shared" si="290"/>
        <v>45006</v>
      </c>
      <c r="Q224" s="233">
        <f t="shared" si="290"/>
        <v>46027</v>
      </c>
      <c r="R224" s="233">
        <f t="shared" si="290"/>
        <v>1475848</v>
      </c>
      <c r="S224" s="233">
        <f>S221+S154+S223</f>
        <v>621753</v>
      </c>
      <c r="T224" s="233">
        <f t="shared" si="290"/>
        <v>601620</v>
      </c>
      <c r="U224" s="233">
        <f t="shared" si="290"/>
        <v>567432</v>
      </c>
      <c r="V224" s="233">
        <f t="shared" si="290"/>
        <v>555769</v>
      </c>
      <c r="W224" s="233">
        <f t="shared" si="290"/>
        <v>569480</v>
      </c>
      <c r="X224" s="233">
        <f t="shared" si="290"/>
        <v>550088</v>
      </c>
      <c r="Y224" s="233">
        <f>Y221+Y154+Y223</f>
        <v>316372</v>
      </c>
      <c r="Z224" s="233">
        <f t="shared" si="290"/>
        <v>372075.2705492252</v>
      </c>
      <c r="AA224" s="233">
        <f t="shared" si="290"/>
        <v>343485.10041368095</v>
      </c>
      <c r="AB224" s="233">
        <f t="shared" si="290"/>
        <v>292593</v>
      </c>
      <c r="AC224" s="233">
        <f t="shared" si="290"/>
        <v>290845</v>
      </c>
      <c r="AD224" s="233">
        <f t="shared" si="290"/>
        <v>377609</v>
      </c>
      <c r="AE224" s="233">
        <f>AE221+AE154+AE223</f>
        <v>6119</v>
      </c>
      <c r="AF224" s="233">
        <f t="shared" si="290"/>
        <v>6098</v>
      </c>
      <c r="AG224" s="233">
        <f t="shared" si="290"/>
        <v>5975</v>
      </c>
      <c r="AH224" s="233">
        <f t="shared" si="290"/>
        <v>6427</v>
      </c>
      <c r="AI224" s="233">
        <f t="shared" si="290"/>
        <v>6856</v>
      </c>
      <c r="AJ224" s="233">
        <f t="shared" si="290"/>
        <v>6635</v>
      </c>
      <c r="AK224" s="233">
        <f>AK221+AK154+AK223</f>
        <v>22955</v>
      </c>
      <c r="AL224" s="233">
        <f t="shared" si="290"/>
        <v>23084</v>
      </c>
      <c r="AM224" s="233">
        <f t="shared" si="290"/>
        <v>22287</v>
      </c>
      <c r="AN224" s="233">
        <f t="shared" si="290"/>
        <v>24467</v>
      </c>
      <c r="AO224" s="233">
        <f t="shared" si="290"/>
        <v>22294</v>
      </c>
      <c r="AP224" s="233">
        <f t="shared" si="290"/>
        <v>23672</v>
      </c>
      <c r="AQ224" s="233">
        <f>AQ221+AQ154+AQ223</f>
        <v>11940</v>
      </c>
      <c r="AR224" s="233">
        <f t="shared" si="290"/>
        <v>12386</v>
      </c>
      <c r="AS224" s="233">
        <f t="shared" si="290"/>
        <v>12829</v>
      </c>
      <c r="AT224" s="233">
        <f t="shared" si="290"/>
        <v>11137</v>
      </c>
      <c r="AU224" s="233">
        <f t="shared" si="290"/>
        <v>11180</v>
      </c>
      <c r="AV224" s="233">
        <f t="shared" si="290"/>
        <v>5715</v>
      </c>
      <c r="AW224" s="233">
        <f>AW221+AW154+AW223</f>
        <v>2436185.7207898325</v>
      </c>
      <c r="AX224" s="233">
        <f t="shared" si="290"/>
        <v>2534024.571845329</v>
      </c>
      <c r="AY224" s="233">
        <f t="shared" si="290"/>
        <v>2370226.9300522683</v>
      </c>
      <c r="AZ224" s="233">
        <f t="shared" si="290"/>
        <v>2399332.0749584693</v>
      </c>
      <c r="BA224" s="233">
        <f t="shared" si="290"/>
        <v>2397573.4673086535</v>
      </c>
      <c r="BB224" s="233">
        <f t="shared" si="290"/>
        <v>2551185.469023919</v>
      </c>
      <c r="BC224" s="233">
        <f>BC221+BC154+BC223</f>
        <v>34329814607.21245</v>
      </c>
      <c r="BD224" s="233">
        <f t="shared" si="290"/>
        <v>33556873787.6511</v>
      </c>
      <c r="BE224" s="233">
        <f t="shared" si="290"/>
        <v>32525733050.238033</v>
      </c>
      <c r="BF224" s="233">
        <f t="shared" si="290"/>
        <v>32637796112.720455</v>
      </c>
      <c r="BG224" s="233">
        <f t="shared" si="290"/>
        <v>32349074600.463223</v>
      </c>
      <c r="BH224" s="233">
        <f aca="true" t="shared" si="291" ref="BH224:BN224">BH221+BH154</f>
        <v>36816637129.31345</v>
      </c>
      <c r="BI224" s="233">
        <f>BI221+BI154+BI223</f>
        <v>892959</v>
      </c>
      <c r="BJ224" s="233">
        <f>BJ221+BJ154+BJ223</f>
        <v>810047</v>
      </c>
      <c r="BK224" s="233">
        <f>BK221+BK154+BK223</f>
        <v>736292</v>
      </c>
      <c r="BL224" s="233">
        <f t="shared" si="291"/>
        <v>716631</v>
      </c>
      <c r="BM224" s="233">
        <f t="shared" si="291"/>
        <v>778655</v>
      </c>
      <c r="BN224" s="233">
        <f t="shared" si="291"/>
        <v>799855</v>
      </c>
      <c r="BO224" s="233">
        <f>BO221+BO154+BO223</f>
        <v>398326</v>
      </c>
      <c r="BP224" s="233">
        <f>BP221+BP154+BP223</f>
        <v>267488</v>
      </c>
      <c r="BQ224" s="233">
        <f>BQ221+BQ154+BQ223</f>
        <v>250956</v>
      </c>
      <c r="BR224" s="233">
        <f aca="true" t="shared" si="292" ref="BR224:BZ224">BR221+BR154</f>
        <v>288360</v>
      </c>
      <c r="BS224" s="233">
        <f t="shared" si="292"/>
        <v>315030</v>
      </c>
      <c r="BT224" s="233">
        <f t="shared" si="292"/>
        <v>108197</v>
      </c>
      <c r="BU224" s="233">
        <f>BU221+BU154+BU223</f>
        <v>38600</v>
      </c>
      <c r="BV224" s="233">
        <f>BV221+BV154+BV223</f>
        <v>67496</v>
      </c>
      <c r="BW224" s="233">
        <f>BW221+BV154</f>
        <v>68368.74687241635</v>
      </c>
      <c r="BX224" s="233">
        <f t="shared" si="292"/>
        <v>77787</v>
      </c>
      <c r="BY224" s="233">
        <f t="shared" si="292"/>
        <v>74852</v>
      </c>
      <c r="BZ224" s="233">
        <f t="shared" si="292"/>
        <v>69531</v>
      </c>
      <c r="CA224" s="233">
        <f>CA221+CA154+CA223</f>
        <v>896</v>
      </c>
      <c r="CB224" s="233">
        <f>CB221+CB154+CB223</f>
        <v>370</v>
      </c>
      <c r="CC224" s="233">
        <f aca="true" t="shared" si="293" ref="CC224:CR224">CC221+CC154</f>
        <v>508</v>
      </c>
      <c r="CD224" s="233">
        <f t="shared" si="293"/>
        <v>563</v>
      </c>
      <c r="CE224" s="233">
        <f t="shared" si="293"/>
        <v>374</v>
      </c>
      <c r="CF224" s="233">
        <f t="shared" si="293"/>
        <v>1069</v>
      </c>
      <c r="CG224" s="233"/>
      <c r="CH224" s="233">
        <f>CH221+CH154+CH223</f>
        <v>890</v>
      </c>
      <c r="CI224" s="233">
        <f t="shared" si="293"/>
        <v>947</v>
      </c>
      <c r="CJ224" s="233">
        <f t="shared" si="293"/>
        <v>2377</v>
      </c>
      <c r="CK224" s="233">
        <f t="shared" si="293"/>
        <v>2309</v>
      </c>
      <c r="CL224" s="233">
        <f t="shared" si="293"/>
        <v>3505</v>
      </c>
      <c r="CM224" s="233">
        <f>CM221+CM154+CM223</f>
        <v>518</v>
      </c>
      <c r="CN224" s="233">
        <f>CN221+CN154+CN223</f>
        <v>413</v>
      </c>
      <c r="CO224" s="233">
        <f t="shared" si="293"/>
        <v>415</v>
      </c>
      <c r="CP224" s="233">
        <f t="shared" si="293"/>
        <v>877</v>
      </c>
      <c r="CQ224" s="233">
        <f t="shared" si="293"/>
        <v>450</v>
      </c>
      <c r="CR224" s="233">
        <f t="shared" si="293"/>
        <v>309</v>
      </c>
      <c r="CS224" s="233">
        <f>CS221+CS154+CS223</f>
        <v>1337305.3449440175</v>
      </c>
      <c r="CT224" s="414">
        <f aca="true" t="shared" si="294" ref="CT224:DV224">CT221+CT154+CT223</f>
        <v>1225556.8585378372</v>
      </c>
      <c r="CU224" s="414">
        <f t="shared" si="294"/>
        <v>1132523.5879039993</v>
      </c>
      <c r="CV224" s="414">
        <f t="shared" si="294"/>
        <v>1179914.5809213812</v>
      </c>
      <c r="CW224" s="414">
        <f t="shared" si="294"/>
        <v>1279809.9941789007</v>
      </c>
      <c r="CX224" s="414">
        <f t="shared" si="294"/>
        <v>1106587.7942761444</v>
      </c>
      <c r="CY224" s="233">
        <f>CY221+CY154+CY223</f>
        <v>6712500586.794733</v>
      </c>
      <c r="CZ224" s="233">
        <f t="shared" si="294"/>
        <v>5867152910.095991</v>
      </c>
      <c r="DA224" s="233">
        <f t="shared" si="294"/>
        <v>5300983756.856642</v>
      </c>
      <c r="DB224" s="233">
        <f t="shared" si="294"/>
        <v>5296156120.752666</v>
      </c>
      <c r="DC224" s="233">
        <f t="shared" si="294"/>
        <v>5812416059.098527</v>
      </c>
      <c r="DD224" s="233">
        <f t="shared" si="294"/>
        <v>5371984566.027913</v>
      </c>
      <c r="DE224" s="233">
        <f>DE221+DE154+DE223</f>
        <v>1095945.545657136</v>
      </c>
      <c r="DF224" s="233">
        <f>DF221+DF154+DF223</f>
        <v>1306177.147269756</v>
      </c>
      <c r="DG224" s="233">
        <f t="shared" si="294"/>
        <v>1236314.4364878917</v>
      </c>
      <c r="DH224" s="233">
        <f>DH221+DH154+DH223</f>
        <v>1217548.5883767102</v>
      </c>
      <c r="DI224" s="233">
        <f>DI221+DI154+DI223</f>
        <v>1117127.3033184316</v>
      </c>
      <c r="DJ224" s="233">
        <f>DJ221+DJ154+DJ223</f>
        <v>1444597.6747477748</v>
      </c>
      <c r="DK224" s="233">
        <f>DK221+DK154+DK223</f>
        <v>27617314020.417713</v>
      </c>
      <c r="DL224" s="233">
        <f t="shared" si="294"/>
        <v>27689720877.555115</v>
      </c>
      <c r="DM224" s="233">
        <f t="shared" si="294"/>
        <v>27224749293.38139</v>
      </c>
      <c r="DN224" s="233">
        <f t="shared" si="294"/>
        <v>27341639991.967785</v>
      </c>
      <c r="DO224" s="233">
        <f t="shared" si="294"/>
        <v>26536658541.3647</v>
      </c>
      <c r="DP224" s="233">
        <f t="shared" si="294"/>
        <v>31444652563.28555</v>
      </c>
      <c r="DQ224" s="233">
        <f>DQ221+DQ154+DQ223</f>
        <v>48112859371.1812</v>
      </c>
      <c r="DR224" s="233">
        <f t="shared" si="294"/>
        <v>44939021352.129135</v>
      </c>
      <c r="DS224" s="233">
        <f t="shared" si="294"/>
        <v>45425097728.163216</v>
      </c>
      <c r="DT224" s="233">
        <f t="shared" si="294"/>
        <v>43741175386.48281</v>
      </c>
      <c r="DU224" s="233">
        <f t="shared" si="294"/>
        <v>45003110525.69586</v>
      </c>
      <c r="DV224" s="233">
        <f t="shared" si="294"/>
        <v>49536594194.842316</v>
      </c>
      <c r="DW224" s="38"/>
      <c r="DX224" s="38"/>
      <c r="DY224" s="38"/>
      <c r="DZ224" s="38"/>
      <c r="EA224" s="546"/>
      <c r="EB224" s="38"/>
      <c r="EC224" s="38"/>
    </row>
    <row r="225" spans="1:133" ht="12.75">
      <c r="A225" s="38"/>
      <c r="B225" s="38"/>
      <c r="C225" s="39"/>
      <c r="D225" s="39"/>
      <c r="E225" s="38"/>
      <c r="F225" s="41"/>
      <c r="G225" s="41"/>
      <c r="H225" s="41"/>
      <c r="I225" s="205"/>
      <c r="J225" s="205"/>
      <c r="K225" s="205"/>
      <c r="L225" s="205"/>
      <c r="M225" s="205"/>
      <c r="N225" s="205"/>
      <c r="O225" s="205"/>
      <c r="P225" s="205"/>
      <c r="Q225" s="205"/>
      <c r="R225" s="205"/>
      <c r="S225" s="205"/>
      <c r="T225" s="205"/>
      <c r="U225" s="205"/>
      <c r="V225" s="205"/>
      <c r="W225" s="205"/>
      <c r="X225" s="205"/>
      <c r="Y225" s="205"/>
      <c r="Z225" s="205"/>
      <c r="AA225" s="205"/>
      <c r="AB225" s="205"/>
      <c r="AC225" s="38"/>
      <c r="AD225" s="41"/>
      <c r="AE225" s="41"/>
      <c r="AF225" s="41"/>
      <c r="AG225" s="41"/>
      <c r="AH225" s="41"/>
      <c r="AI225" s="41"/>
      <c r="AJ225" s="41"/>
      <c r="AK225" s="41"/>
      <c r="AL225" s="41"/>
      <c r="AM225" s="41"/>
      <c r="AN225" s="41"/>
      <c r="AO225" s="41"/>
      <c r="AP225" s="38"/>
      <c r="AQ225" s="38"/>
      <c r="AR225" s="38"/>
      <c r="AS225" s="38"/>
      <c r="AT225" s="38"/>
      <c r="AU225" s="38"/>
      <c r="AV225" s="212"/>
      <c r="AW225" s="212"/>
      <c r="AX225" s="212"/>
      <c r="AY225" s="212"/>
      <c r="AZ225" s="212"/>
      <c r="BA225" s="212"/>
      <c r="BB225" s="41"/>
      <c r="BC225" s="41"/>
      <c r="BD225" s="41"/>
      <c r="BE225" s="210"/>
      <c r="BF225" s="41"/>
      <c r="BG225" s="41"/>
      <c r="BH225" s="210"/>
      <c r="BI225" s="210"/>
      <c r="BJ225" s="210"/>
      <c r="BK225" s="210"/>
      <c r="BL225" s="41"/>
      <c r="BM225" s="41"/>
      <c r="BN225" s="205"/>
      <c r="BO225" s="205"/>
      <c r="BP225" s="205"/>
      <c r="BQ225" s="205"/>
      <c r="BR225" s="205"/>
      <c r="BS225" s="205"/>
      <c r="BT225" s="205"/>
      <c r="BU225" s="205"/>
      <c r="BV225" s="205"/>
      <c r="BW225" s="205"/>
      <c r="BX225" s="205"/>
      <c r="BY225" s="205"/>
      <c r="BZ225" s="41"/>
      <c r="CA225" s="41"/>
      <c r="CB225" s="41"/>
      <c r="CC225" s="205"/>
      <c r="CD225" s="41"/>
      <c r="CE225" s="41"/>
      <c r="CF225" s="41"/>
      <c r="CG225" s="41"/>
      <c r="CH225" s="41"/>
      <c r="CI225" s="38"/>
      <c r="CJ225" s="41"/>
      <c r="CK225" s="41"/>
      <c r="CL225" s="38"/>
      <c r="CM225" s="38"/>
      <c r="CN225" s="38"/>
      <c r="CO225" s="38"/>
      <c r="CP225" s="38"/>
      <c r="CQ225" s="38"/>
      <c r="CR225" s="15"/>
      <c r="CS225" s="15"/>
      <c r="CT225" s="212"/>
      <c r="CU225" s="183"/>
      <c r="CV225" s="212"/>
      <c r="CW225" s="212"/>
      <c r="CX225" s="41"/>
      <c r="CY225" s="41"/>
      <c r="CZ225" s="41"/>
      <c r="DA225" s="38"/>
      <c r="DB225" s="41"/>
      <c r="DC225" s="41"/>
      <c r="DD225" s="210"/>
      <c r="DE225" s="210"/>
      <c r="DF225" s="38"/>
      <c r="DG225" s="38"/>
      <c r="DH225" s="38"/>
      <c r="DI225" s="38"/>
      <c r="DJ225" s="38"/>
      <c r="DK225" s="38"/>
      <c r="DL225" s="38"/>
      <c r="DM225" s="38"/>
      <c r="DN225" s="38"/>
      <c r="DO225" s="38"/>
      <c r="DP225" s="38"/>
      <c r="DQ225" s="38"/>
      <c r="DR225" s="38"/>
      <c r="DS225" s="39"/>
      <c r="DT225" s="38"/>
      <c r="DU225" s="38"/>
      <c r="DV225" s="38"/>
      <c r="DW225" s="38"/>
      <c r="DX225" s="38"/>
      <c r="DY225" s="38"/>
      <c r="DZ225" s="38"/>
      <c r="EA225" s="546"/>
      <c r="EB225" s="38"/>
      <c r="EC225" s="38"/>
    </row>
    <row r="226" spans="1:133" ht="12.75">
      <c r="A226" s="41" t="s">
        <v>689</v>
      </c>
      <c r="B226" s="38"/>
      <c r="C226" s="39"/>
      <c r="D226" s="39"/>
      <c r="E226" s="38"/>
      <c r="F226" s="41"/>
      <c r="G226" s="41"/>
      <c r="H226" s="41"/>
      <c r="I226" s="205"/>
      <c r="J226" s="205"/>
      <c r="K226" s="205"/>
      <c r="L226" s="205"/>
      <c r="M226" s="205"/>
      <c r="N226" s="205"/>
      <c r="O226" s="205"/>
      <c r="P226" s="205"/>
      <c r="Q226" s="205"/>
      <c r="R226" s="205"/>
      <c r="S226" s="205"/>
      <c r="T226" s="205"/>
      <c r="U226" s="205"/>
      <c r="V226" s="205"/>
      <c r="W226" s="205"/>
      <c r="X226" s="205"/>
      <c r="Y226" s="205"/>
      <c r="Z226" s="205"/>
      <c r="AA226" s="205"/>
      <c r="AB226" s="205"/>
      <c r="AC226" s="38"/>
      <c r="AD226" s="41"/>
      <c r="AE226" s="41"/>
      <c r="AF226" s="41"/>
      <c r="AG226" s="41"/>
      <c r="AH226" s="41"/>
      <c r="AI226" s="41"/>
      <c r="AJ226" s="41">
        <v>65</v>
      </c>
      <c r="AK226" s="41"/>
      <c r="AL226" s="41"/>
      <c r="AM226" s="41"/>
      <c r="AN226" s="41"/>
      <c r="AO226" s="41"/>
      <c r="AP226" s="38">
        <v>63</v>
      </c>
      <c r="AQ226" s="38"/>
      <c r="AR226" s="38"/>
      <c r="AS226" s="38"/>
      <c r="AT226" s="38"/>
      <c r="AU226" s="38"/>
      <c r="AV226" s="212" t="s">
        <v>688</v>
      </c>
      <c r="AW226" s="212"/>
      <c r="AX226" s="212"/>
      <c r="AY226" s="212"/>
      <c r="AZ226" s="212"/>
      <c r="BA226" s="212"/>
      <c r="BB226" s="41"/>
      <c r="BC226" s="41"/>
      <c r="BD226" s="41"/>
      <c r="BE226" s="210"/>
      <c r="BF226" s="41"/>
      <c r="BG226" s="41"/>
      <c r="BH226" s="210"/>
      <c r="BI226" s="210"/>
      <c r="BJ226" s="210"/>
      <c r="BK226" s="210"/>
      <c r="BL226" s="41">
        <v>64</v>
      </c>
      <c r="BM226" s="41"/>
      <c r="BN226" s="205"/>
      <c r="BO226" s="205"/>
      <c r="BP226" s="205"/>
      <c r="BQ226" s="205"/>
      <c r="BR226" s="205"/>
      <c r="BS226" s="205"/>
      <c r="BT226" s="205"/>
      <c r="BU226" s="205"/>
      <c r="BV226" s="205"/>
      <c r="BW226" s="205"/>
      <c r="BX226" s="205"/>
      <c r="BY226" s="205"/>
      <c r="BZ226" s="41"/>
      <c r="CA226" s="41"/>
      <c r="CB226" s="41"/>
      <c r="CC226" s="205"/>
      <c r="CD226" s="41"/>
      <c r="CE226" s="41"/>
      <c r="CF226" s="41">
        <v>65</v>
      </c>
      <c r="CG226" s="41"/>
      <c r="CH226" s="41"/>
      <c r="CI226" s="38"/>
      <c r="CJ226" s="41"/>
      <c r="CK226" s="41"/>
      <c r="CL226" s="38">
        <v>63</v>
      </c>
      <c r="CM226" s="38"/>
      <c r="CN226" s="38"/>
      <c r="CO226" s="38"/>
      <c r="CP226" s="38"/>
      <c r="CQ226" s="38"/>
      <c r="CR226" s="212" t="s">
        <v>688</v>
      </c>
      <c r="CS226" s="212"/>
      <c r="CT226" s="212"/>
      <c r="CU226" s="183"/>
      <c r="CV226" s="212"/>
      <c r="CW226" s="212"/>
      <c r="CX226" s="41"/>
      <c r="CY226" s="41"/>
      <c r="CZ226" s="41"/>
      <c r="DA226" s="38"/>
      <c r="DB226" s="41"/>
      <c r="DC226" s="41"/>
      <c r="DD226" s="210"/>
      <c r="DE226" s="210"/>
      <c r="DF226" s="38"/>
      <c r="DG226" s="38"/>
      <c r="DH226" s="38"/>
      <c r="DI226" s="38"/>
      <c r="DJ226" s="38"/>
      <c r="DK226" s="38"/>
      <c r="DL226" s="38"/>
      <c r="DM226" s="38"/>
      <c r="DN226" s="38"/>
      <c r="DO226" s="38"/>
      <c r="DP226" s="38"/>
      <c r="DQ226" s="38"/>
      <c r="DR226" s="38"/>
      <c r="DS226" s="38"/>
      <c r="DT226" s="38"/>
      <c r="DU226" s="38"/>
      <c r="DV226" s="38"/>
      <c r="DW226" s="38"/>
      <c r="DX226" s="38"/>
      <c r="DY226" s="38"/>
      <c r="DZ226" s="38"/>
      <c r="EA226" s="546"/>
      <c r="EB226" s="38"/>
      <c r="EC226" s="38"/>
    </row>
    <row r="227" ht="12.75">
      <c r="A227" s="164" t="s">
        <v>753</v>
      </c>
    </row>
    <row r="228" spans="1:18" ht="12.75">
      <c r="A228" s="38" t="s">
        <v>783</v>
      </c>
      <c r="R228" s="164" t="s">
        <v>804</v>
      </c>
    </row>
    <row r="230" spans="77:80" ht="12.75">
      <c r="BY230" s="398"/>
      <c r="BZ230" s="398"/>
      <c r="CA230" s="398"/>
      <c r="CB230" s="398"/>
    </row>
  </sheetData>
  <sheetProtection/>
  <mergeCells count="39">
    <mergeCell ref="CO157:CR157"/>
    <mergeCell ref="CS2:CX2"/>
    <mergeCell ref="B2:B3"/>
    <mergeCell ref="CY2:DD2"/>
    <mergeCell ref="CC157:CF157"/>
    <mergeCell ref="CI157:CL157"/>
    <mergeCell ref="BI2:BN2"/>
    <mergeCell ref="BI157:BN157"/>
    <mergeCell ref="CM2:CR2"/>
    <mergeCell ref="CA2:CF2"/>
    <mergeCell ref="BU2:BZ2"/>
    <mergeCell ref="BO2:BT2"/>
    <mergeCell ref="BU157:BZ157"/>
    <mergeCell ref="CG2:CL2"/>
    <mergeCell ref="I157:L157"/>
    <mergeCell ref="V157:X157"/>
    <mergeCell ref="N157:Q157"/>
    <mergeCell ref="Y157:AD157"/>
    <mergeCell ref="AE2:AJ2"/>
    <mergeCell ref="Y2:AD2"/>
    <mergeCell ref="C156:E156"/>
    <mergeCell ref="C157:G157"/>
    <mergeCell ref="C2:G2"/>
    <mergeCell ref="S2:X2"/>
    <mergeCell ref="M2:Q2"/>
    <mergeCell ref="H2:L2"/>
    <mergeCell ref="AK2:AP2"/>
    <mergeCell ref="AQ2:AV2"/>
    <mergeCell ref="AW2:BB2"/>
    <mergeCell ref="BC2:BH2"/>
    <mergeCell ref="BC157:BH157"/>
    <mergeCell ref="AW157:BB157"/>
    <mergeCell ref="AE157:AV157"/>
    <mergeCell ref="DE1:DJ2"/>
    <mergeCell ref="DK1:DP2"/>
    <mergeCell ref="DQ1:DV2"/>
    <mergeCell ref="DQ157:DV157"/>
    <mergeCell ref="CY157:DD157"/>
    <mergeCell ref="CS157:CX157"/>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IV16384"/>
    </sheetView>
  </sheetViews>
  <sheetFormatPr defaultColWidth="9.140625" defaultRowHeight="12.75"/>
  <cols>
    <col min="1" max="1" width="43.57421875" style="1" customWidth="1"/>
    <col min="2" max="3" width="14.00390625" style="1" customWidth="1"/>
    <col min="4" max="7" width="13.28125" style="1" customWidth="1"/>
    <col min="8" max="8" width="5.421875" style="1" customWidth="1"/>
    <col min="9" max="9" width="11.00390625" style="1" customWidth="1"/>
    <col min="10" max="16384" width="9.140625" style="1" customWidth="1"/>
  </cols>
  <sheetData>
    <row r="1" spans="1:9" ht="13.5" thickBot="1">
      <c r="A1" s="674" t="s">
        <v>740</v>
      </c>
      <c r="B1" s="675"/>
      <c r="C1" s="675"/>
      <c r="D1" s="675"/>
      <c r="E1" s="675"/>
      <c r="F1" s="675"/>
      <c r="G1" s="675"/>
      <c r="I1" s="676" t="s">
        <v>367</v>
      </c>
    </row>
    <row r="2" spans="1:9" ht="15" thickBot="1" thickTop="1">
      <c r="A2" s="677"/>
      <c r="B2" s="365">
        <v>2011</v>
      </c>
      <c r="C2" s="278">
        <v>2010</v>
      </c>
      <c r="D2" s="278">
        <v>2009</v>
      </c>
      <c r="E2" s="278">
        <v>2008</v>
      </c>
      <c r="F2" s="278">
        <v>2007</v>
      </c>
      <c r="G2" s="353">
        <v>2006</v>
      </c>
      <c r="I2" s="678"/>
    </row>
    <row r="3" spans="1:9" ht="12.75">
      <c r="A3" s="341" t="s">
        <v>65</v>
      </c>
      <c r="B3" s="537">
        <f>Commerical!C221</f>
        <v>10067669</v>
      </c>
      <c r="C3" s="468">
        <f>Commerical!D221</f>
        <v>8209882</v>
      </c>
      <c r="D3" s="468">
        <f>Commerical!E221</f>
        <v>8011826</v>
      </c>
      <c r="E3" s="468">
        <f>Commerical!F221</f>
        <v>8309648</v>
      </c>
      <c r="F3" s="468">
        <f>Commerical!G221</f>
        <v>9293716</v>
      </c>
      <c r="G3" s="79">
        <f>Commerical!H221</f>
        <v>9679970</v>
      </c>
      <c r="I3" s="678"/>
    </row>
    <row r="4" spans="1:9" ht="12.75">
      <c r="A4" s="342" t="s">
        <v>788</v>
      </c>
      <c r="B4" s="538">
        <v>0.217</v>
      </c>
      <c r="C4" s="351">
        <v>0.217</v>
      </c>
      <c r="D4" s="351">
        <v>0.217</v>
      </c>
      <c r="E4" s="351">
        <v>0.217</v>
      </c>
      <c r="F4" s="351">
        <v>0.217</v>
      </c>
      <c r="G4" s="467">
        <v>0.217</v>
      </c>
      <c r="I4" s="1" t="s">
        <v>20</v>
      </c>
    </row>
    <row r="5" spans="1:9" ht="12.75">
      <c r="A5" s="342" t="s">
        <v>67</v>
      </c>
      <c r="B5" s="352">
        <f aca="true" t="shared" si="0" ref="B5:G5">B3*B4</f>
        <v>2184684.173</v>
      </c>
      <c r="C5" s="36">
        <f t="shared" si="0"/>
        <v>1781544.394</v>
      </c>
      <c r="D5" s="36">
        <f t="shared" si="0"/>
        <v>1738566.242</v>
      </c>
      <c r="E5" s="36">
        <f t="shared" si="0"/>
        <v>1803193.616</v>
      </c>
      <c r="F5" s="36">
        <f t="shared" si="0"/>
        <v>2016736.372</v>
      </c>
      <c r="G5" s="81">
        <f t="shared" si="0"/>
        <v>2100553.4899999998</v>
      </c>
      <c r="I5" s="678"/>
    </row>
    <row r="6" spans="1:9" ht="12.75">
      <c r="A6" s="342" t="s">
        <v>792</v>
      </c>
      <c r="B6" s="679">
        <f>'Ave weights'!$Q$116</f>
        <v>0.9572726914026904</v>
      </c>
      <c r="C6" s="680">
        <f>'Ave weights'!$Q$116</f>
        <v>0.9572726914026904</v>
      </c>
      <c r="D6" s="680">
        <f>'Ave weights'!$Q$116</f>
        <v>0.9572726914026904</v>
      </c>
      <c r="E6" s="680">
        <f>'Ave weights'!$Q$116</f>
        <v>0.9572726914026904</v>
      </c>
      <c r="F6" s="680">
        <f>'Ave weights'!$Q$116</f>
        <v>0.9572726914026904</v>
      </c>
      <c r="G6" s="681">
        <f>'Ave weights'!$Q$116</f>
        <v>0.9572726914026904</v>
      </c>
      <c r="I6" s="678"/>
    </row>
    <row r="7" spans="1:9" ht="12.75">
      <c r="A7" s="342" t="s">
        <v>66</v>
      </c>
      <c r="B7" s="682">
        <f aca="true" t="shared" si="1" ref="B7:G7">B5/B6*1000</f>
        <v>2282196277.6341033</v>
      </c>
      <c r="C7" s="19">
        <f t="shared" si="1"/>
        <v>1861062589.5840666</v>
      </c>
      <c r="D7" s="19">
        <f t="shared" si="1"/>
        <v>1816166132.8210263</v>
      </c>
      <c r="E7" s="19">
        <f t="shared" si="1"/>
        <v>1883678111.988949</v>
      </c>
      <c r="F7" s="19">
        <f t="shared" si="1"/>
        <v>2106752224.4313467</v>
      </c>
      <c r="G7" s="683">
        <f t="shared" si="1"/>
        <v>2194310470.637224</v>
      </c>
      <c r="I7" s="678"/>
    </row>
    <row r="8" spans="1:9" ht="13.5" thickBot="1">
      <c r="A8" s="350" t="s">
        <v>583</v>
      </c>
      <c r="B8" s="684">
        <v>0.41</v>
      </c>
      <c r="C8" s="685">
        <v>0.41</v>
      </c>
      <c r="D8" s="685">
        <v>0.41</v>
      </c>
      <c r="E8" s="685">
        <v>0.41</v>
      </c>
      <c r="F8" s="685">
        <v>0.41</v>
      </c>
      <c r="G8" s="686">
        <v>0.41</v>
      </c>
      <c r="I8" s="1" t="s">
        <v>71</v>
      </c>
    </row>
    <row r="9" spans="1:9" ht="15" thickBot="1" thickTop="1">
      <c r="A9" s="354" t="s">
        <v>68</v>
      </c>
      <c r="B9" s="687">
        <f aca="true" t="shared" si="2" ref="B9:G9">B7*B8</f>
        <v>935700473.8299823</v>
      </c>
      <c r="C9" s="688">
        <f t="shared" si="2"/>
        <v>763035661.7294673</v>
      </c>
      <c r="D9" s="688">
        <f t="shared" si="2"/>
        <v>744628114.4566207</v>
      </c>
      <c r="E9" s="688">
        <f t="shared" si="2"/>
        <v>772308025.915469</v>
      </c>
      <c r="F9" s="688">
        <f t="shared" si="2"/>
        <v>863768412.016852</v>
      </c>
      <c r="G9" s="689">
        <f t="shared" si="2"/>
        <v>899667292.9612619</v>
      </c>
      <c r="I9" s="678"/>
    </row>
    <row r="10" spans="1:7" ht="12.75">
      <c r="A10" s="341" t="s">
        <v>95</v>
      </c>
      <c r="B10" s="537">
        <f>Commerical!C221-('Imports-Exports'!CS224/0.45359237)</f>
        <v>7119415.384217139</v>
      </c>
      <c r="C10" s="468">
        <f>Commerical!D221-('Imports-Exports'!CT224/0.45359237)</f>
        <v>5507991.625305564</v>
      </c>
      <c r="D10" s="468">
        <f>Commerical!E221-('Imports-Exports'!CU224/0.45359237)</f>
        <v>5515038.878329502</v>
      </c>
      <c r="E10" s="468">
        <f>Commerical!F221-('Imports-Exports'!CV224/0.45359237)</f>
        <v>5708381.623051506</v>
      </c>
      <c r="F10" s="468">
        <f>Commerical!G221-('Imports-Exports'!CW224/0.45359237)</f>
        <v>6472217.935165046</v>
      </c>
      <c r="G10" s="79">
        <f>Commerical!H221-('Imports-Exports'!CX224/0.45359237)</f>
        <v>7240361.515677073</v>
      </c>
    </row>
    <row r="11" spans="1:8" ht="12.75">
      <c r="A11" s="342" t="s">
        <v>788</v>
      </c>
      <c r="B11" s="538">
        <f aca="true" t="shared" si="3" ref="B11:G11">B4</f>
        <v>0.217</v>
      </c>
      <c r="C11" s="351">
        <f t="shared" si="3"/>
        <v>0.217</v>
      </c>
      <c r="D11" s="351">
        <f t="shared" si="3"/>
        <v>0.217</v>
      </c>
      <c r="E11" s="351">
        <f t="shared" si="3"/>
        <v>0.217</v>
      </c>
      <c r="F11" s="351">
        <f t="shared" si="3"/>
        <v>0.217</v>
      </c>
      <c r="G11" s="467">
        <f t="shared" si="3"/>
        <v>0.217</v>
      </c>
      <c r="H11" s="118"/>
    </row>
    <row r="12" spans="1:8" ht="12.75">
      <c r="A12" s="342" t="s">
        <v>96</v>
      </c>
      <c r="B12" s="352">
        <f aca="true" t="shared" si="4" ref="B12:G12">B10*B11</f>
        <v>1544913.1383751193</v>
      </c>
      <c r="C12" s="36">
        <f t="shared" si="4"/>
        <v>1195234.1826913075</v>
      </c>
      <c r="D12" s="36">
        <f t="shared" si="4"/>
        <v>1196763.436597502</v>
      </c>
      <c r="E12" s="36">
        <f t="shared" si="4"/>
        <v>1238718.8122021768</v>
      </c>
      <c r="F12" s="36">
        <f t="shared" si="4"/>
        <v>1404471.291930815</v>
      </c>
      <c r="G12" s="81">
        <f t="shared" si="4"/>
        <v>1571158.4489019248</v>
      </c>
      <c r="H12" s="118"/>
    </row>
    <row r="13" spans="1:8" ht="12.75">
      <c r="A13" s="342" t="s">
        <v>792</v>
      </c>
      <c r="B13" s="679">
        <f>'Ave weights'!$Q$116</f>
        <v>0.9572726914026904</v>
      </c>
      <c r="C13" s="680">
        <f>'Ave weights'!$Q$116</f>
        <v>0.9572726914026904</v>
      </c>
      <c r="D13" s="680">
        <f>'Ave weights'!$Q$116</f>
        <v>0.9572726914026904</v>
      </c>
      <c r="E13" s="680">
        <f>'Ave weights'!$Q$116</f>
        <v>0.9572726914026904</v>
      </c>
      <c r="F13" s="680">
        <f>'Ave weights'!$Q$116</f>
        <v>0.9572726914026904</v>
      </c>
      <c r="G13" s="681">
        <f>'Ave weights'!$Q$116</f>
        <v>0.9572726914026904</v>
      </c>
      <c r="H13" s="118"/>
    </row>
    <row r="14" spans="1:8" ht="12.75">
      <c r="A14" s="342" t="s">
        <v>97</v>
      </c>
      <c r="B14" s="682">
        <f aca="true" t="shared" si="5" ref="B14:G14">B12/B13*1000</f>
        <v>1613869435.7940578</v>
      </c>
      <c r="C14" s="19">
        <f t="shared" si="5"/>
        <v>1248582763.7472165</v>
      </c>
      <c r="D14" s="19">
        <f t="shared" si="5"/>
        <v>1250180275.0101292</v>
      </c>
      <c r="E14" s="19">
        <f t="shared" si="5"/>
        <v>1294008304.3496037</v>
      </c>
      <c r="F14" s="19">
        <f t="shared" si="5"/>
        <v>1467159049.3956795</v>
      </c>
      <c r="G14" s="683">
        <f t="shared" si="5"/>
        <v>1641286190.458132</v>
      </c>
      <c r="H14" s="118"/>
    </row>
    <row r="15" spans="1:8" ht="13.5" thickBot="1">
      <c r="A15" s="350" t="s">
        <v>583</v>
      </c>
      <c r="B15" s="684">
        <v>0.41</v>
      </c>
      <c r="C15" s="685">
        <v>0.41</v>
      </c>
      <c r="D15" s="685">
        <v>0.41</v>
      </c>
      <c r="E15" s="685">
        <v>0.41</v>
      </c>
      <c r="F15" s="685">
        <v>0.41</v>
      </c>
      <c r="G15" s="686">
        <f>G8</f>
        <v>0.41</v>
      </c>
      <c r="H15" s="118"/>
    </row>
    <row r="16" spans="1:8" ht="15" thickBot="1" thickTop="1">
      <c r="A16" s="354" t="s">
        <v>98</v>
      </c>
      <c r="B16" s="687">
        <f aca="true" t="shared" si="6" ref="B16:G16">B14*B15</f>
        <v>661686468.6755637</v>
      </c>
      <c r="C16" s="688">
        <f t="shared" si="6"/>
        <v>511918933.13635874</v>
      </c>
      <c r="D16" s="688">
        <f t="shared" si="6"/>
        <v>512573912.75415295</v>
      </c>
      <c r="E16" s="688">
        <f t="shared" si="6"/>
        <v>530543404.7833375</v>
      </c>
      <c r="F16" s="688">
        <f t="shared" si="6"/>
        <v>601535210.2522285</v>
      </c>
      <c r="G16" s="689">
        <f t="shared" si="6"/>
        <v>672927338.0878341</v>
      </c>
      <c r="H16" s="118"/>
    </row>
    <row r="17" spans="1:8" ht="12.75">
      <c r="A17" s="342" t="s">
        <v>99</v>
      </c>
      <c r="B17" s="690">
        <f>'Imports-Exports'!AW224/0.45359237</f>
        <v>5370870.15107823</v>
      </c>
      <c r="C17" s="691">
        <f>'Imports-Exports'!AX224/0.45359237</f>
        <v>5586567.89541087</v>
      </c>
      <c r="D17" s="691">
        <f>'Imports-Exports'!AY224/0.45359237</f>
        <v>5225455.908908406</v>
      </c>
      <c r="E17" s="691">
        <f>'Imports-Exports'!AZ224/0.45359237</f>
        <v>5289621.7697808035</v>
      </c>
      <c r="F17" s="691">
        <f>'Imports-Exports'!BA224/0.45359237</f>
        <v>5285744.703573064</v>
      </c>
      <c r="G17" s="692">
        <f>'Imports-Exports'!BB224/0.45359237</f>
        <v>5624401.197542012</v>
      </c>
      <c r="H17" s="118"/>
    </row>
    <row r="18" spans="1:9" ht="12.75">
      <c r="A18" s="342" t="s">
        <v>789</v>
      </c>
      <c r="B18" s="538">
        <v>0.08</v>
      </c>
      <c r="C18" s="351">
        <v>0.08</v>
      </c>
      <c r="D18" s="351">
        <v>0.08</v>
      </c>
      <c r="E18" s="351">
        <v>0.08</v>
      </c>
      <c r="F18" s="351">
        <v>0.08</v>
      </c>
      <c r="G18" s="467">
        <v>0.08</v>
      </c>
      <c r="H18" s="3"/>
      <c r="I18" s="1" t="s">
        <v>793</v>
      </c>
    </row>
    <row r="19" spans="1:8" ht="12.75">
      <c r="A19" s="342" t="s">
        <v>791</v>
      </c>
      <c r="B19" s="352">
        <f aca="true" t="shared" si="7" ref="B19:G19">(B17*B18)+B12</f>
        <v>1974582.7504613777</v>
      </c>
      <c r="C19" s="36">
        <f t="shared" si="7"/>
        <v>1642159.6143241771</v>
      </c>
      <c r="D19" s="19">
        <f t="shared" si="7"/>
        <v>1614799.9093101746</v>
      </c>
      <c r="E19" s="19">
        <f t="shared" si="7"/>
        <v>1661888.553784641</v>
      </c>
      <c r="F19" s="19">
        <f t="shared" si="7"/>
        <v>1827330.86821666</v>
      </c>
      <c r="G19" s="683">
        <f t="shared" si="7"/>
        <v>2021110.5447052857</v>
      </c>
      <c r="H19" s="3"/>
    </row>
    <row r="20" spans="1:8" ht="12.75">
      <c r="A20" s="342" t="s">
        <v>792</v>
      </c>
      <c r="B20" s="679">
        <f>'Ave weights'!$Q$116</f>
        <v>0.9572726914026904</v>
      </c>
      <c r="C20" s="680">
        <f>'Ave weights'!$Q$116</f>
        <v>0.9572726914026904</v>
      </c>
      <c r="D20" s="680">
        <f>'Ave weights'!$Q$116</f>
        <v>0.9572726914026904</v>
      </c>
      <c r="E20" s="680">
        <f>'Ave weights'!$Q$116</f>
        <v>0.9572726914026904</v>
      </c>
      <c r="F20" s="680">
        <f>'Ave weights'!$Q$116</f>
        <v>0.9572726914026904</v>
      </c>
      <c r="G20" s="681">
        <f>'Ave weights'!$Q$116</f>
        <v>0.9572726914026904</v>
      </c>
      <c r="H20" s="3"/>
    </row>
    <row r="21" spans="1:8" ht="12.75">
      <c r="A21" s="342" t="s">
        <v>582</v>
      </c>
      <c r="B21" s="682">
        <f aca="true" t="shared" si="8" ref="B21:G21">B19/B20*1000</f>
        <v>2062717100.5662181</v>
      </c>
      <c r="C21" s="19">
        <f t="shared" si="8"/>
        <v>1715456451.5132284</v>
      </c>
      <c r="D21" s="19">
        <f t="shared" si="8"/>
        <v>1686875562.0135894</v>
      </c>
      <c r="E21" s="19">
        <f t="shared" si="8"/>
        <v>1736065980.686734</v>
      </c>
      <c r="F21" s="19">
        <f t="shared" si="8"/>
        <v>1908892716.388968</v>
      </c>
      <c r="G21" s="683">
        <f t="shared" si="8"/>
        <v>2111321635.7856765</v>
      </c>
      <c r="H21" s="3"/>
    </row>
    <row r="22" spans="1:8" ht="13.5" thickBot="1">
      <c r="A22" s="350" t="s">
        <v>583</v>
      </c>
      <c r="B22" s="684">
        <f aca="true" t="shared" si="9" ref="B22:G22">B8</f>
        <v>0.41</v>
      </c>
      <c r="C22" s="685">
        <f t="shared" si="9"/>
        <v>0.41</v>
      </c>
      <c r="D22" s="685">
        <f t="shared" si="9"/>
        <v>0.41</v>
      </c>
      <c r="E22" s="685">
        <f t="shared" si="9"/>
        <v>0.41</v>
      </c>
      <c r="F22" s="685">
        <f t="shared" si="9"/>
        <v>0.41</v>
      </c>
      <c r="G22" s="686">
        <f t="shared" si="9"/>
        <v>0.41</v>
      </c>
      <c r="H22" s="3"/>
    </row>
    <row r="23" spans="1:8" ht="15" thickBot="1" thickTop="1">
      <c r="A23" s="354" t="s">
        <v>795</v>
      </c>
      <c r="B23" s="687">
        <f aca="true" t="shared" si="10" ref="B23:G23">B21*B22</f>
        <v>845714011.2321494</v>
      </c>
      <c r="C23" s="688">
        <f t="shared" si="10"/>
        <v>703337145.1204236</v>
      </c>
      <c r="D23" s="688">
        <f t="shared" si="10"/>
        <v>691618980.4255716</v>
      </c>
      <c r="E23" s="688">
        <f t="shared" si="10"/>
        <v>711787052.0815609</v>
      </c>
      <c r="F23" s="688">
        <f t="shared" si="10"/>
        <v>782646013.7194768</v>
      </c>
      <c r="G23" s="689">
        <f t="shared" si="10"/>
        <v>865641870.6721272</v>
      </c>
      <c r="H23" s="3"/>
    </row>
    <row r="29" ht="12.75">
      <c r="F29" s="1" t="s">
        <v>753</v>
      </c>
    </row>
  </sheetData>
  <sheetProtection/>
  <printOptions/>
  <pageMargins left="1.32" right="0.75" top="1.13" bottom="1" header="0.5" footer="0.5"/>
  <pageSetup firstPageNumber="11" useFirstPageNumber="1" horizontalDpi="300" verticalDpi="300" orientation="portrait" r:id="rId1"/>
  <headerFooter alignWithMargins="0">
    <oddHeader>&amp;C&amp;"Times New Roman,Bold"&amp;12U.S. discard mortality for commercial landings (1997)
&amp;"Times New Roman,Regular"&amp;10(figures in number of individuals)&amp;R&amp;P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Norfolk,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Cem Akin</dc:creator>
  <cp:keywords/>
  <dc:description/>
  <cp:lastModifiedBy>Noam Mohr</cp:lastModifiedBy>
  <cp:lastPrinted>1999-05-17T18:30:10Z</cp:lastPrinted>
  <dcterms:created xsi:type="dcterms:W3CDTF">1999-03-06T20:32:00Z</dcterms:created>
  <dcterms:modified xsi:type="dcterms:W3CDTF">2012-12-07T04:23:11Z</dcterms:modified>
  <cp:category/>
  <cp:version/>
  <cp:contentType/>
  <cp:contentStatus/>
</cp:coreProperties>
</file>